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3" Type="http://schemas.openxmlformats.org/officeDocument/2006/relationships/extended-properties" Target="docProps/app.xml"/> <Relationship Id="rId2" Type="http://schemas.openxmlformats.org/package/2006/relationships/metadata/core-properties" Target="docProps/core.xml"/> <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240" yWindow="105" windowWidth="14805" windowHeight="8010"/>
  </bookViews>
  <sheets>
    <sheet name="Upload" sheetId="1" r:id="rId1"/>
    <sheet name="Report" sheetId="2" r:id="rId2"/>
    <sheet name="FSG" sheetId="3" r:id="rId3"/>
    <sheet name="Parameters" sheetId="4" r:id="rId4"/>
  </sheets>
  <definedNames>
    <definedName name="_xlnm._FilterDatabase" localSheetId="0" hidden="1">'Upload'!$A$1:$F$1</definedName>
  </definedNames>
  <calcPr calcId="122211"/>
</workbook>
</file>

<file path=xl/sharedStrings.xml><?xml version="1.0" encoding="utf-8"?>
<sst xmlns="http://schemas.openxmlformats.org/spreadsheetml/2006/main" count="2866" uniqueCount="1473">
  <si>
    <t>Type</t>
  </si>
  <si>
    <t>Application</t>
  </si>
  <si>
    <t>Report Name</t>
  </si>
  <si>
    <t>Example File</t>
  </si>
  <si>
    <t>Description</t>
  </si>
  <si>
    <t>Report Name Sort</t>
  </si>
  <si>
    <t>Upload</t>
  </si>
  <si>
    <t>Payables</t>
  </si>
  <si>
    <t>AP Invoice Upload</t>
  </si>
  <si>
    <t>This upload can be used to create and/or update Suppliers, Supplier Sites, Supplier Bank Accounts, and Supplier Contacts</t>
  </si>
  <si>
    <t>AP Supplier Upload</t>
  </si>
  <si>
    <t>Receivables</t>
  </si>
  <si>
    <t>Upload to create AR cash receipts and optionally apply them to open invoices.
Each row creates one receipt (if it does not already exist) and optionally applies it to one invoice.
To apply one receipt to multiple invoices, enter multiple rows with the same Receipt Number - the receipt is created only once on the first row, and each subsequent row generates one application against the existing receipt.
Receipt Application options:
- Leave Invoice Number blank: receipt is created as Unapplied
- Enter Invoice Number: receipt is applied to that invoice
- Set Apply on Account = Yes: receipt amount is applied On Account (no specific invoice)
Remittance Bank Account:
- Defaults to the Primary bank account assigned to the Receipt Method (matching the form behaviour).
- To use a non-primary bank account, pick it from the Remittance Bank Account LOV. The Override flag is auto-defaulted to Yes when a non-primary account is chosen.
- For multi-row uploads against the same Receipt Number, only the bank account on the first row is used; subsequent rows simply apply to the receipt that already exists.
Apply-only against an existing receipt:
- Enter the Receipt Number of an existing receipt and the application columns (Invoice Number, Amount Applied, etc.). Receipt Method, Receipt Amount, Receipt Date and Currency may be left blank - they are required only when creating a new receipt.
Receipt Information (Descriptive Flexfield):
- Pick an Attribute Category (your configured DFF context) to expose its segments in the Attribute1..15 columns. Each segment shows only values valid for the chosen context.
- Column headers rename dynamically to your configured segment labels (via the "AR Cash Receipt DFF Attributes" translation rule).
- DFF values are written to the receipt header on create. They cannot be modified on an existing receipt via this upload - use the form, or reverse-and-recreate, for header DFF maintenance.
Receipt Type - Standard vs Miscellaneous:
- Receipt Type defaults to Standard (a customer cash receipt applied to invoices, as described above).
- Set Receipt Type to Miscellaneous to record non-customer income such as bank interest or refunds. A Miscellaneous receipt requires a Receivables Activity, which supplies the GL accounting automatically - there is no customer and no invoice application.
- Misc Payment Source is an optional free-text note for Miscellaneous receipts.
- On a Miscellaneous row the customer and application columns (Customer Name/Number/Site, Invoice Number, Amount Applied, Apply on Account, etc.) must be left blank.
Customer Bank Account:
- The customer's own bank account that funds the receipt - used by automatic receipt methods such as Direct Debit and EFT. Pick from the bank accounts registered for the customer. Leave blank for ordinary manually entered cash receipts.
Notes Receivable / Bills of Exchange:
- Issuer Name, Issue Date and Issuer Bank Branch capture the details of a note or bill of exchange. Populate them only for Notes Receivable receipts; leave blank for ordinary cash receipts.
The upload supports the following modes:
- Create: opens an empty template for entering new receipts
- Create, Update: downloads existing receipts (with applications) for review or to add further applications</t>
  </si>
  <si>
    <t>AR Cash Receipt Upload</t>
  </si>
  <si>
    <t>AR Customer Upload
This upload can be used to create and/or update Customer Accounts, Customer Sites and/or Customer Site Uses.
Additionally, the upload supports:
- the creation/update of the Customer Profiles and Customer Profile Amounts at Customer and Customer Site Level
- the creation/update of bank Accounts at the Customer and Customer Site Level
- the creation/update of Contact information at the Customer and Customer Site level
The following parameters determine the behaviour of the upload.
Upload Mode
===========
Create – In this mode the user starts with a blank Excel. Use this mode to create new customers.
Create, Update – In this mode the existing customer information is first downloaded into the excel based on the other parameters specified. Use this mode to update existing customer information, or to add/update additional supplementary information to the Customers and or Customer Sites (like customer profile information, customer profile amounts, bank accounts, contacts). This mode can also be used to create new Customers.
Update Level
===========
This parameter determines if you want to download the Customer Profiles, Bank Accounts, and Contacts at the Customer Level, Customer Site Level or Both  
Account – only Customer Level information is downloaded to excel.
Site – only Customer Site level information is downloaded to the excel
Account &amp; Site – Customer and Customer Site level information is downloaded to the Excel.
In the excel you can create/update the customer profiles, bank accounts, and/or contacts at the customer level by leaving the Site Level columns null.
Update Profile Amounts
===================
Set to Yes to download the Customer Profile Amounts assigned to the Customer and/or Customer Site profiles.
Update Bank Accounts
================
Set to Yes to download the Bank Accounts assigned to the Customers and/or Customer Sites
Update Contacts
==============
Set to Yes to download the Contacts assigned to the Customers and/or Customer Sites
Contact Status
============
Determines the status of the contacts to be downloaded. By default, only active contacts will be downloaded. But his can be changed to download all contacts, or inactive contacts only.
Default Operating Unit and Default Profile Class
======================================
For creation of new Customers/Customer Sites, the Operating Unit and Profile Class to be used can be defaulted automatically if specified by these parameters
Default &lt;entity&gt; Assign. Level
========================
For the creation of new Customers/Customer Sites, these parameters can be used to explicitly specify the level (Account or Site) to which the Profile Class, Tax Registration, Bank Accounts, Contacts, and Attachments should be assigned to respectively.
Normally the upload will determine the level based on the existence of site level identifying data in the excel row being uploaded. If no site level identifying data is present, then it will be associated the entity with the Account, otherwise the entity will be associated with the site.
This would require a separate excel row to be specified for the customer account and a separate row for the customer site if some entities are to be associated with the customer account and some with the customer site.
These parameters allow you to create the customer account and customer site in a single excel row and explicitly specify for each entity at what level the entity should be associated with.
</t>
  </si>
  <si>
    <t>AR Customer Upload</t>
  </si>
  <si>
    <t>Bulk-refund customer credit balances in AR. Each row refunds either an open credit memo or the unapplied/on-account portion of a customer cash receipt by applying it against the operating unit's Credit Memo Refund Receivables Activity, via AR_CM_APPLICATION_PUB.Activity_application or AR_RECEIPT_API_PUB.Activity_application.
WHEN TO USE EACH REFUND SOURCE
- Credit Memo - the customer has an open credit memo (e.g. overpayment recorded as a CM) and wants the money back.
- Unapplied Receipt - the customer paid more than they owed, or paid against the account with no specific invoice. The receipt has an unapplied/on-account balance to return.
WORKFLOW (review and select)
The template downloads (Create, Update mode) pre-populated with every eligible credit memo and unapplied receipt for the parameters, showing Customer Name and Open Balance. Review the list, then:
1. Set Refund = Yes on the rows to refund; leave blank to skip. Blank rows are not processed.
2. Refund Amount defaults to the source open balance - override with a smaller positive amount for a partial refund (validated &gt; 0 and &lt;= balance, in Excel and at upload).
3. Apply Date / Apply GL Date default to today; the GL Date must be in an open AR period.
4. Optionally set Payment Method, Pay Group, Payment Reason Comments, Comments - these flow to the AP Payment Request invoice.
To add a row manually: pick Refund Source, then the Credit Memo Number or Receipt Number (the LOV adapts to the source).
APPROVAL LIMITS
The AR API runs with p_chk_approval_limit_flag='Y' - the user's AR approval limit applies. Rows over the limit error with the API's own message. Limits are never bypassed.
END-TO-END FLOW
1. AR (this upload): a new ar_receivable_applications_all row is created (application_type='CM' or 'CASH', status='ACTIVITY').
2. AR -&gt; AP business event (automatic): AP creates a Payment Request invoice (source='Receivables', invoice_type_lookup_code='PAYMENT REQUEST') payable to the customer's TCA party.
3. AP Invoice Validation (standard AP concurrent).
4. AP Payment Process Request issues the disbursement.
This upload performs step 1 only. Steps 2-4 are standard Oracle AP processing - a second human control point before any money leaves.
PER-OU SETUP
Each OU that processes refunds needs a Credit Memo Refund-type Receivables Activity (AR Setup -&gt; Receipts -&gt; Receivable Activities). The same activity is used for both CM and receipt refunds. If none, the upload errors: "No Credit Memo Refund activity is defined for this operating unit."
CANDIDATE IDENTIFICATION
- Credit Memo Number LOV: open credit memos in the OU whose customer account has no open invoices (standard refund-candidate rule). Set "Include accounts with open invoices" = Yes to override the safety filter (e.g. when open invoices are disputed).
- Receipt Number LOV: unapplied/on-account customer receipts in the OU with positive unapplied amount.
- Download in Create, Update mode to see existing candidates as rows.
FILTER PARAMETERS
- Operating Unit - filters both branches.
- Customer Name - LOV of customers that have an eligible refund in the OU (respects the open-invoice rules below).
- GL Date From / To, Credit Memo Number (multi-value), Batch Name (multi-value LOV on AR transaction batches) - Credit Memo branch only. The Receipt branch always shows all unapplied/on-account receipts in the chosen OU.
- Include accounts with open invoices - default blank (= safety filter on for CMs). Does not apply to receipts.
- Open Invoice Due Within Days - applies only when Include accounts with open invoices = Yes (otherwise ignored). Enter any number N: a credit memo is hidden only when the customer has an open invoice due within N days; invoices due later are ignored so the CM can still be refunded. Blank = due dates not considered.
MODE
Create, Update by default so the eligible candidates pre-populate. Only rows with Refund = Yes are processed; the result XLSM lists the refunded rows.</t>
  </si>
  <si>
    <t>AR Refund Upload</t>
  </si>
  <si>
    <t>This upload can be used to create Invoices, Debit Memos and Credit Memos. Credit memos can be created On Account, or created and applied directly to an existing transaction (an applied credit memo).
The 'Upload Trx Identifier' column is used to uniquely identify each individual transaction (invoice, credit memo, debit memo) to be uploaded.
If the selected batch source uses manual transaction numbering, the Upload Trx Identifier will be copied to the Transaction Number column (the Oracle Transaction Number), but this can be overridden in the upload excel.
If the selected transaction type uses a Manual Document Sequence, the Upload Trx Identifier will be used as the Document Sequence Value in Oracle.
The upload supports the entry of
- Standard Invoice Lines
- Manual Tax Lines (if permitted)
- Header Level Freight Lines (if permitted) – identified by leaving the Link to Line Number null
- Line Level Freight Lines (if permitted) – identified by populating the Link to Line Number column
For Tax Lines, and Line level Freight Lines, use the Link to Line Number to identify the Invoice Line to which the Tax Line or Freight Line should be linked. Tax Lines must be linked to a standard invoice line.
Note. Tax Lines and Line level Freight Lines must occur after the row containing the invoice line to which they will be linked, although it does not need to be immediately following.
- A Quantity and Unit Price must be specified for standard invoice lines. The upload will calculate the line amount.
- You can specify a quantity and unit price for a freight line in which case the upload will calculate the line amount, or you enter the line amount directly. Only the amount is uploaded to Oracle.
- For manual Tax Lines, you can enter the line amount directly. If left blank, the upload will calculate the amount based on the selected Tax Rate and the line amount from the linked standard invoice.
For Manual Tax Lines you must specify the Tax Regime, Tax, Tax Jurisdiction, Tax Status, Tax Rate Name, and Tax Rate columns.
Applied Credit Memos
To create a credit memo and apply it to an existing transaction in one step, populate the Credit Against Transaction column with the transaction to be credited.  A Credit Memo Reason is required for an applied credit memo.
The Transaction Type and Transaction Date are derived automatically from the credited invoice and are informational on this flow. The Transaction Type list shows only the credit memo type linked to the credited invoice's transaction type, and the Transaction Date defaults to the later of today and the credited invoice's date.
You can credit the invoice at header level or at line level.
Header level – leave the Credit Against Line column blank.
- Leave Credit Line Amount, Credit Tax Amount and Credit Freight Amount blank to credit the full outstanding balance of the invoice.
- Or enter negative Credit Line, Credit Tax and/or Credit Freight Amounts to credit part of the invoice.
Line level – populate the Credit Against Line column.
- Enter one row per invoice line to be credited, identifying the line in the Credit Against Line column.
- A negative Credit Line Amount is required for each credited line. It defaults to the full line amount; edit it for a partial line credit.
- Credit Tax Amount and Credit Freight Amount are not used at line level. Credit tax and freight using a header level credit, or let the credit method spread the tax automatically.
The report parameters Credit Method for Rules and Credit Method for Installments control how the credit is applied across accounting rule periods and payment schedules.</t>
  </si>
  <si>
    <t>AR Transaction Upload</t>
  </si>
  <si>
    <t>Bills of Material</t>
  </si>
  <si>
    <t>Report: BOM Bill of Materials Upload
Description: 
This upload can be used to create and/or update existing standard BOMs, including
- BOM Header
- BOM Components
- BOM Component Substitutes
The functionality supports the creation and update of Alternate Bills. 
The functionality does not support the creation and update of Common Bills.</t>
  </si>
  <si>
    <t>BOM Bill of Materials Upload</t>
  </si>
  <si>
    <t>BOM Common Bill of Materials Upload
============================================
The upload can be used to create Common BOM from the BOMS defined in the specified source organization in one or more target organizations as determined by the Scope Parameter:
All - All Organizations 
BOMs will made Common to all other Organizations that share the same Master Organization as the Source Organization and to which the current responsibility has access to.
Hierarchy – Organization Hierarchy
BOMs will made Common to all Organizations the current responsibility has access to and which are below the Source Organization in the specified Hierarchy.
Organization – Specific Organizations
BOMs will be made Common to the specified Target Organizations. The Target Organizations must share the same Master Organization as the Source Organization.
Unlike the Oracle standard Create Common BOM process which requires all sub-component BOMS and substitute component BOMs to be made common individually, this upload process will iterate through the sub-assemblies and substitute assemblies and make them common in the Target Organization if they have not already been defined.
A prerequisite however, as with the BOM Bill of Materials Upload (Amazon), is that all the items are already assigned in the Target Organization.
If any component Items are not defined in the Target Organization, these will be identified in the upload Excel.
Usage
=====
- Specify the Source Organization in which the BOMS are defined
- Specify the Scope to determine the Target Organizations
- Use the Report Parameters to select the BOMS to be made common
- The generated Excel will contain one row per BOM and Target Organization combination
- The generated Excel Identifies if the BOM Item is defined in the Target Organization, if it already exists as a BOM in the Target Organization, if it is a Common BOM in the target organization already, and if the BOM has any component items which are not defined in the Target Organization. These will prevent the BOM upload process from attempting to make the BOM common in the target organization.
- In the generated Excel, set the ‘Create Common Bom’ column to Yes against the BOM/Target Organization combinations to be made Common.
- Save and upload the Excel to process the selections made back into Oracle
- After upload, a new Excel is generated showing the success/error status of the creation of the Common BOMS in each target organization.
Templates
=========
Common BOM Upload Template
In this template, the user must review and manually select the BOM/Target Organization combinations to be made Common. Setting the ‘Create Common Bom’ flag against a BOM/Target Organization combination will trigger the row for update and processing during upload.
Automatic Common BOM Upload Template
In this template, the excel is generated with the ‘Create Common Bom’ flag set against all BOM/Target Organization combinations and the rows already flagged for update and processing. In this template the user can opt out of creating a common BOM for specific BOM/Target Organization combinations by either de-selecting (clearing) the ‘Create Common Bom’ flag column or by deleting the row from the spreadsheet. 
</t>
  </si>
  <si>
    <t>BOM Common Bill of Materials Upload</t>
  </si>
  <si>
    <t>Report: BOM Routing Upload
This upload can be used to create and/or update existing manufacturing BOM Routings.
- Create new Standard, Flow, and Lot Based (Network) Routings
- Update or Delete existing Standard, Flow, and Lot Based (Network) Routings
- Upload new Common Routing Assignments
</t>
  </si>
  <si>
    <t>BOM Routing Upload</t>
  </si>
  <si>
    <t>Blitz Report</t>
  </si>
  <si>
    <t>Upload to update value for profile option 'Blitz Report Access' at user or responsibility level.
Someone having this upload assigned, can maintain the profile option values for other users or responsibilities up to their own access level.
He could, for example, set the value to 'User' for other users, but not to anything higher, such as 'Developer'.
Someone with Developer access could set the value for other users and developers, but not to the highest level 'System'.</t>
  </si>
  <si>
    <t>Blitz Report Access Upload</t>
  </si>
  <si>
    <t>Upload to maintain Blitz Report assignments.
The upload support creating, deleting or copying assignment and can be run with the following modes:
-Create with 'Create Empty File'=Yes:
Opens an empty Excel file to enter new assignments.
-Create with 'Create Empty File'=blank:
You can query a list of reports that you want create assignments for by report name, category or report type.
-Create, Update:
Allows querying existing assignments, which can be deleted, or copied to a different assignment level.
A frequent use case for customers having custom responsibilities linked to custom applications would be to copy seeded application level Enginatics assignments to custom applications instead.
For this, you can query all Enginatics application level assignments, replace the application names with the corresponding custom applications, and upload the file again. Note that in this scenario, the Action column would show 'Update', but it would create new records, not update when uploading the file.</t>
  </si>
  <si>
    <t>Blitz Report Assignment Upload</t>
  </si>
  <si>
    <t>Upload to maintain Blitz Report category assignments - the categories that reports and uploads are grouped under.
Run modes:
- Create with 'Create Empty File' = Yes: opens an empty Excel file to enter new report and category rows.
- Create with 'Create Empty File' = blank: queries a list of reports (by name, category or type) as blank rows to assign categories to.
- Create, Update: queries existing category assignments, which can be removed by setting the Delete column to Yes.
Enter any Category name. If the category does not exist yet, it is created automatically in all installed languages and the report is assigned to it. Set Delete = Yes to remove a report from a category; the category itself is kept even if it becomes empty.</t>
  </si>
  <si>
    <t>Blitz Report Category Assignment Upload</t>
  </si>
  <si>
    <t>Lists Oracle EBS concurrent programs that are candidates for conversion to Blitz Report - RDF reports, BI Publisher reports, and other data-extract concurrent programs - with usage statistics. Select the programs to convert with the Convert Program column, then upload the file. The upload submits a host concurrent program that gathers each selected program's source artifacts (.rdf, .ldt, data definition, template, related packages and custom dependencies) into a single zip file for analysis by Enginatics.
With Include Custom Views set to Yes, the list additionally shows custom database views whose name starts with the Custom Object Prefix. Selecting a view gathers its definition and its custom dependency closure into the same zip - use this to extract the views that Discoverer-migrated or other custom reports are based on.</t>
  </si>
  <si>
    <t>Blitz Report Custom Reports Converter</t>
  </si>
  <si>
    <t>Upload to maintain Blitz Report template sharing - which users, responsibilities, or the whole site can see and use a report template (Excel layout).
The upload can be run in the following modes:
-Create with 'Create Empty File'=Yes:
Opens an empty Excel file to enter new template shares.
-Create with 'Create Empty File'=blank:
Query the templates you want to share, filtered by report name, category or sharing level.
-Create, Update:
Query existing template shares, which can be deleted or copied to a different sharing level.
Sharing levels:
-Site shares the template with the whole system (all responsibilities and users).
-Responsibility shares it with one responsibility - enter the responsibility name in Shared With and its owning application in Description.
-User shares it with one named user.
Note: Site sharing is mutually exclusive with specific shares. Sharing a template at Site level removes any existing Responsibility or User shares for that template, and adding a Responsibility or User share removes any existing Site share - mirroring the Blitz Report template setup form.</t>
  </si>
  <si>
    <t>Blitz Report Template Sharing Upload</t>
  </si>
  <si>
    <t>Example upload, which can be used as a template by copying (Tools&gt;Copy Report) to create new uploads using an API with no parameters. This API will be called just once by the upload framework and all the uploaded records can be accessed within the API by selecting them from the Data View eg: select * from xxen_blitz_upload_examp_9718_u xu where xu.status_code_=xxen_upload.status_valid</t>
  </si>
  <si>
    <t>Blitz Upload Example (API with no parameters)</t>
  </si>
  <si>
    <t>Example upload, which can be used as a template by copying (Tools&gt;Copy Report) to create new uploads using an API without parameters.
This API will be called just once by the upload framework and all the uploaded records can be accessed within the API by selecting them from the Data View eg: select * from xxen_blitz_upload_examp_9718_u xu where xu.status_code_=xxen_upload.status_valid</t>
  </si>
  <si>
    <t>Blitz Upload Example (API without parameters)</t>
  </si>
  <si>
    <t>Example upload, which can be used as a template by copying (Tools&gt;Copy Report) to create new uploads using an API.</t>
  </si>
  <si>
    <t>Blitz Upload Example (API)</t>
  </si>
  <si>
    <t>Sample upload to be used as a template by copying (Tools&gt;Copy Report) to create new uploads using Interface Table.</t>
  </si>
  <si>
    <t>Blitz Upload Example (Interface Table)</t>
  </si>
  <si>
    <t>Cash Management</t>
  </si>
  <si>
    <t>CE Bank Statement Upload
========================
Loads bank statements (header and lines) into Oracle Cash Management through the bank statement open interface and runs Oracle's Bank Statement Import automatically after upload.
Optionally, AutoReconciliation runs in the same step to match the imported statement lines against AR receipts, AP payments and GL journal lines according to the bank account's transaction codes and matching rules, in the same way as the standard 'Bank Statement Import &amp; AutoReconciliation' concurrent program.
Each row represents one statement line. Statement header information (Account Number, Statement Number, Statement Date, Currency, Control Balances) repeats on every row and the statement header is created once per statement number. Line numbers are assigned automatically per statement when left blank.
Credit and debit control totals are computed automatically from the entered lines and their transaction code types.
Upload Mode
===========
Create
------
Opens an empty spreadsheet to enter new bank statements, for example pasted from a bank portal export.
Create, Update
--------------
Additionally returns statement lines that are still sitting in the bank statement open interface and did not import. Correct them and re-upload; corrected lines replace the previously staged interface records and are imported again.
Notes
=====
- Statements that are already imported into Cash Management cannot be loaded again under the same statement number.
- Rows failing the import show the Cash Management interface error messages in the result file. The standard Bank Statement Import Execution Report provides the same details.</t>
  </si>
  <si>
    <t>CE Bank Statement Upload</t>
  </si>
  <si>
    <t>CE Bank and Branch Upload
==========================
Creates or updates banks and bank branches in Oracle Cash Management (CE) using the ce_bank_pub API (TCA-based).
Each row represents one bank branch. If the bank does not exist it is created automatically. The branch is then created or updated within that bank.
Upload Mode
===========
Create
------
Opens an empty spreadsheet to enter new banks and branches.
Create, Update
--------------
Returns existing bank branches. Edit fields and re-upload to update.
Required Fields
===============
- Country: Country of the bank (e.g. United States, Australia).
- Bank Name: Name of the bank. Used together with Country to identify an existing bank.
- Branch Name: Name of the branch. Used together with Bank Name and Country to identify an existing branch.
Optional Fields
===============
- Bank Number: Routing or institution number for the bank.
- Short Bank Name: Abbreviated bank name.
- Alternate Bank Name: Phonetic or alternate-language bank name.
- Branch Number: Branch routing or BSB number.
- Branch Type: Routing/clearing type. Options: ABA, CHIPS, SWIFT, Other. Leave blank if not applicable.
- BIC / SWIFT Code: Bank Identifier Code (ISO 9362).
- EFT Number: Electronic Funds Transfer user number.
- Alternate Branch Name: Phonetic or alternate-language branch name.
- Description: Free text description of the branch.
- DFF Columns (Attribute Category, Attribute 1-24): Descriptive Flexfield segments on the branch party (HZ_PARTIES).
Notes
=====
- Bank is matched by Country + Bank Name (+ Bank Number if provided). If no match is found, a new bank is created.
- Branch is matched by Bank + Branch Name. If no match is found, a new branch is created within the bank.
- Bank fields (Short Bank Name, Alternate Bank Name) are only applied on bank creation, not on update.
- Country-specific routing number format validation is bypassed to allow loading data across all countries.</t>
  </si>
  <si>
    <t>CE Bank and Branch Upload</t>
  </si>
  <si>
    <t>Cost Management</t>
  </si>
  <si>
    <t>CST Item Average Cost Upload
============================
This upload supports the uploading of item average costs for organizations using the Average Costing Method.
The upload delivers equivalent functionality to the Average Cost Update form in Oracle EBS 
(At this time the upload does not support value change quantity adjustments). 
Upload Mode:
Use the “Create” upload mode to generate an empty excel into which you can paste the average cost updates to be uploaded.
Use the “Create, Update” upload mode if you wish to download the current average costs for a specified set of items into the excel for updating. Additional entries (rows) can also be created in the generated excel.  
Upload Type:
The upload supports updating average costs at the (summary) item level or at the (detailed) elemental cost level. This is determined by the Upload Type report parameter.
If updating the average cost at the item level, any change made to the item average cost is spread to all cost elements and levels in the same proportion as existed prior to the update.
If updating the average cost at the elemental cost level, you only need to adjust and upload the specific cost elements/levels that require a change. It is not necessary to upload the average costs for all cost elements/levels for the item. The upload will only adjust the costs for the cost elements/levels uploaded and leave the others unchanged. The total item average cost will be updated based on the total of the item’s elemental costs.
For uploads at the item cost level, the Cost Element Level Type (This, Previous) and the Cost Element columns must be left blank.
For uploads at the elemental cost level, the Cost Element Level Type (This, Previous) and the Cost Element columns must be populated in the upload excel.
To adjust the average price for an item or cost element you must enter one and one only of either of the following columns 
- New Average Cost: the average cost of the item or cost element will be set to this value. It must be a positive value
- Percentage Change: the average cost of the item or cost element will be changed by this +/- percentage
- Value Change: the +/- amount by which the onhand inventory value should be changed. The average cost will be calculated based on the dividing the new inventory value by the quantity onhand. You can only perform a value change for items with onhand quantity.
Default Adjustment Account
The default adjustment account is used for the inventory revaluations. You can override the default adjustment account for each cost element within the upload excel if required. Otherwise leave the adjustment accounts in the upload excel blank, or you can remove them from the report template so they do not show. 
Informational Columns.
The upload excel by default contains some information columns. If you do not require these columns they can be removed from the template being used so they do not show.
The following columns are informational only
- Description: the item description
- Item Average Cost: the item’s current average cost
- Valued Quantity: the quantity on hand 
- Old Average Cost: the item or cost element/level current average cost
- Old Valuation: the current valuation of inventory onhand for the item or cost element/level
- Adjusted Average Cost: the item or cost element/level new average cost based
- Adjusted Valuation: the new valuation of inventory onhand for the item or cost element/level
- Valuation Change: the change in inventory valuation for the item or cost element/level
</t>
  </si>
  <si>
    <t>CST Item Average Cost Upload</t>
  </si>
  <si>
    <t>CST Item Standard Cost Upload
=============================
This upload can be used to 
- Upload New Item Costs
- Download the current Item Costs, Update, and Upload the amended item costs for a specified Cost Type
- Download the current item Costs from one Source cost type, update, and upload the amended item costs to a different Target Cost Type
NOTE: 
You can only upload costs to cost types that are not flagged as frozen and are flagged as updateable. Typically, this upload is used for updating cost types using the standard costing method.   
Optionally, the upload can perform a Cost Rollup after the Item Costs have been imported. The Cost Rollup can be performed for
- Specific Items - a cost rollup will be done for only those items for which costs have been uploaded
- All Items - in this mode the upload will submit the 'Supply Chain Cost Rollup - Print Report' concurrent request to rollup all items within each organization costs are uploaded to
NOTE: 
The Item Cost Interface only support importing ‘This Level’ costs. As such, this upload does not support the direct upload of rolled up costs
Parameters
==========
Target Cost Type (Required) - The Cost Type to which the Item Costs are to be uploaded to.
Mode (Required, Default: Remove and replace cost information) -
The Item Cost Update Mode
- Remove and replace cost information
- Insert new Cost Information Only
Auto Populate Upload Columns (Default: Yes) -
Applies to downloaded Item Cost Entries only. If set to Yes, the downloaded records will be flagged ready for upload, even if though no changes have been made. 
If left blank, the downloaded records will only be flagged for upload when the user amends any data against a record. 
In this case, it is important to remember where an Item Cost has multiple cost elements, then all the cost element records for that item would need to be amended to flag them for update. Only records flagged for update are uploaded. If all cost elements for an item are to be uploaded, even if some do not require any amendment, then the user must trigger the record to be uploaded by making a change against the record.
Source Cost Type
Optionally specify the source Cost Type from which to download the current Item Costs. For the scenarios where you want to amend the current items costs for a Cost Type or want to copy the current item costs for a Cost Type to a different Target Cost Type.
Rollup Costs - set to Yes to do a cost rollup after the costs are uploaded
Rollup Type - Rollup specific Items or All Items
Rollup Option - Single level rollup or Full cost rollup 
Organization Code - Optionally select the Organization(s) for which you want to download the Item Costs for
Additional Parameters - The additional parameters are used to optionally restrict the items to be downloaded.
Notes on the Upload
===================
The generated upload Excel contains one record per elemental item cost.
The following columns in the Excel are display only and are populated initially on download, and then refreshed in the results excel after the upload is performed as they calculated during the Item Cost Import
- Basis Factor                  
- Net Yield or Shrinkage Factor 
- Element Unit Cost             
- Item Material Cost - the summary Item Level Material Cost.
- Item Material Overhead Cost - the summary Item Level Material Overhead Cost.
- Item Resource Cost - the Summary Item Level Resource Cost.
- Item Outside Processing Cost - the summary Item Level Outside Processing Cost.
- Item Overhead Cost - the summary Item Level Overhead Cost.
- Item Cost - the summary Item Level Item Cost.
- Item Unburdened Cost - the summary Item Level Unburdened Cost.
- Item Burden Cost - the summary Item Level Burden Cost.
</t>
  </si>
  <si>
    <t>CST Item Standard Cost Upload</t>
  </si>
  <si>
    <t>Enterprise Asset Management</t>
  </si>
  <si>
    <t>EAM Asset Activity Association Upload
=====================================
- Create new associations between an Activity item and an Asset Group, specific Asset Number (serial instance), or Rebuildable item.
- Update existing association attributes (dates, priority, owning department, WIP class, DFF, etc.).
- Deletion is not supported by the public API in v1.
Prerequisites
=============
- The Activity item (eam_item_type=2) must already exist in the maintenance organization. Use the INV Item Upload to create Activity items.
- For Asset Group associations, the Asset Group (eam_item_type=1) and its serialised instance (csi_item_instances) must exist.
- For Rebuildable (serial) associations, the Rebuildable item (eam_item_type=3) and instance must exist.
- For Rebuildable (non-serial) associations, only the Rebuildable item is required.
Natural business key for create/update detection:
(Asset Activity + Maintenance Object Type + Maintenance Object Id)
which maps to (Activity + Asset Group or Asset Number).
</t>
  </si>
  <si>
    <t>EAM Asset Activity Association Upload</t>
  </si>
  <si>
    <t>Create and update Oracle Enterprise Asset Management asset numbers (maintenance assets).</t>
  </si>
  <si>
    <t>EAM Asset Number Upload</t>
  </si>
  <si>
    <t>Create, update, and delete EAM failure codes, cause codes, and resolution codes.
Upload Mode
===========
Create
------
Opens an empty spreadsheet to define new codes.
Create, Update
--------------
Downloads existing codes for review and modification, and allows adding new rows.
Code Type
=========
Determines which of the three code tables is affected:
- Failure Code   (stored in eam_failure_codes)
- Cause Code     (stored in eam_cause_codes)
- Resolution Code (stored in eam_resolution_codes)
Codes are global - not scoped to any operating unit.
Fields
======
- Code Type: Required. Failure Code, Cause Code, or Resolution Code.
- Code: Required. Unique within its code type.
- Description: Optional.
- Effective End Date: Optional. Blank to keep the code active; set to reactivate an end-dated code.
- Delete Record: Optional. Set to Yes to delete an existing code.</t>
  </si>
  <si>
    <t>EAM Failure Codes Upload</t>
  </si>
  <si>
    <t>EAM Failure Sets Upload
=======================
Creates and updates Oracle EAM (Enterprise Asset Management) Failure Sets, along with their Asset-Group Item Associations and Failure/Cause/Resolution Combinations.
One Set Name can own many child rows (Associations and Combinations). A SET row defines the header explicitly. For Create rows, the upload also creates the missing failure set header automatically from the first ASSOCIATION or COMBINATION row for that Set Name.
Row Type
--------
- SET: Creates or updates the failure set header (set_name, description, effective_end_date).
- ASSOCIATION: Links the set to an asset-group / rebuildable item. The item must have EAM_ITEM_TYPE in (1,3) and exist in the master item organization. On Create, this row can also create the failure set header if it does not exist yet.
- COMBINATION: Adds a valid Failure / Cause / Resolution code triple to the set. The individual codes must already exist in EAM Failure Codes setup (use the EAM Failure Codes Upload). On Create, this row can also create the failure set header if it does not exist yet.
Upload Mode
===========
- Create: opens an empty template. Enter a SET row per new failure set, or enter the first ASSOCIATION / COMBINATION row directly; the upload will create the missing header before processing the child row.
- Create, Update: downloads existing sets / associations / combinations for review or update.
Delete
======
- SET rows cannot be deleted directly (Oracle API does not ship Delete_FailureSet). End-date the set instead by setting Set Effective End Date.
- ASSOCIATION and COMBINATION rows can be deleted by setting Delete to Yes.
Dates
=====
Blanking Effective End Date on an update reactivates the ended record.</t>
  </si>
  <si>
    <t>EAM Failure Sets Upload</t>
  </si>
  <si>
    <t>EAM Preventive Maintenance Schedule Upload
=========================================
Create or update Oracle EAM Preventive Maintenance schedule definitions, including:
  - PM Schedule header (asset or asset group, activity, schedule name, set name, type, rescheduling point, etc.)
  - Activity group (for Rule Based schedules: list of activities with interval multiples)
  - Scheduling rules: Day Interval, Runtime / Meter, and List Date rules
  - Optional Last Service info (per meter)
Row Model
=========
Each spreadsheet row can contain PM header values plus any populated child-object columns. The upload infers the object levels from populated column groups:
  - Header columns identify and define the PM schedule.
  - Act Activity columns add PM activity-group entries. If no Act Activity is entered for a new Rule Based schedule, the header Activity is used as the first activity entry.
  - Rule columns add Day Interval, Runtime Meter, or List Date scheduling rules.
  - LSI columns add optional last-service readings.
Rows belonging to the same PM must repeat the same Organization Code + Schedule Name + Asset + Activity and remain contiguous. The header is processed once per PM; repeated rows are used for additional activities, rules, and last-service readings.
Upload Modes
============
Create - empty spreadsheet for new PM schedules.
Create, Update - downloads existing PM schedules for review/edit and allows adding new ones.
IMPORTANT on Update
-------------------
In Create, Update mode, use Update Activities / Update Rules / Update Last Service to include those child details in the downloaded template. Update Activities defaults to Yes; the other child sections are optional.
PM Set Name
===========
- Reference an existing Set Name, or
- Enter a new Set Name together with Set Name Description / End Date / Local Flag; the upload will auto-create it via EAM_SetName_PUB.
After Upload
============
Schedule and run the "XMLSG - Create Preventive Maintenance Work Order" concurrent program - uploading a PM schedule alone does not generate work orders.</t>
  </si>
  <si>
    <t>EAM PM Schedule Upload</t>
  </si>
  <si>
    <t>Assets</t>
  </si>
  <si>
    <t>Upload to create, update, and retire fixed assets using FA Public APIs.
New assets are created via fa_addition_pub.do_addition. Existing assets are updated via fa_asset_desc_pub.update_desc, fa_reclass_pub.do_reclass, and fa_adjustment_pub.do_adjustment.
Asset retirements are processed via fa_retirement_pub.do_retirement; after uploading retirements, run the Calculate Gains and Losses program to finalize them and post the gain/loss.
Use the Record Type column to select Addition or Retirement processing. Fully retired assets are excluded from the list unless Include Retired Assets is set to Yes.</t>
  </si>
  <si>
    <t>FA Asset Upload</t>
  </si>
  <si>
    <t>Maintains Oracle Assets Prepare Mass Additions queue lines.
Use the Operation column to choose what each row does: Update (change fields and/or Queue), Create (add a new mass addition line), Merge, Split, Unsplit, Add to Asset or Undo Add to Asset.
Queue (Post, On Hold, Delete, On-Review) sets the posting status of the line on an Update.
Merge combines the lines that share a Merge Group label into the one row marked Primary Line = Yes; that line is kept as the asset and accumulates the cost of the other lines (and their units when Sum Units = Yes), and is set to On Hold.
After uploading, run the standard Post Mass Additions program to create the assets, exactly as today. Existing lines are matched on Book plus Invoice Number, Distribution Line and Invoice Line.</t>
  </si>
  <si>
    <t>FA Mass Additions Upload</t>
  </si>
  <si>
    <t>Application Object Library</t>
  </si>
  <si>
    <t>Upload to create or update flex values for Independent, Dependent, Translatable Independent, and Translatable Dependent value sets.
Supports:
- Value creation and update (auto-detects via fnd_flex_values_pkg.load_row upsert)
- Enabled flag, start/end dates
- Summary flag (parent/child designation)
- Rollup group assignment for parent values
- Compiled value attributes (qualifier values for KFF segments, e.g. GL Account Type, Allow Posting)
- Hierarchy level
- Attribute sort order
- DFF attributes (ATTRIBUTE1..50)
- Translatable value meaning and description (for Translatable Independent/Dependent value sets)
Note: After uploading parent values with hierarchy changes, run the 'Compile Value Hierarchy' concurrent program from the Value Sets form to update the compiled hierarchy.</t>
  </si>
  <si>
    <t>FND Flex Value Upload</t>
  </si>
  <si>
    <t>This upload allows the user to
- download and update lookup codes against existing Lookup Types.
- add new lookup codes to existing Lookup Types.
- create new Lookup Types and upload the lookup codes against these new Lookup Types. 
The upload of FND Lookup Types and Lookup Codes is in the users current language.
Only User and Extensible Lookup Types can be maintained by this upload.
For Extensible Lookup Types, seeded Lookup Codes canot be updated.
For Creating/Updating Lookup Codes only against an existing Lookup Type, use template: 
Lookup Codes - Create/Update Lookup Codes only
For Creating New Lookup Types and/or updating Lookup Type level information, as well as the Lookup Codes, use  template:
Lookup Types - Create/Update Lookup Types and Codes</t>
  </si>
  <si>
    <t>FND Lookup Upload</t>
  </si>
  <si>
    <t>Upload to create, update and delete menu entries in FND Menus.
Useful for adding entries to existing menus, e.g. during Supply Chain Hub installation.
Upload Modes
============
Create
------
Opens an empty spreadsheet where the user can enter new menu entries.
Create, Update
--------------
Downloads existing menu entries matching the Menu Name filter for review and update.
New rows can be added to create additional entries in the same upload.
Fields
======
- User Menu Name: Display-only. Shows the translatable menu name.
- Menu Name: Required. The internal menu name (e.g. INV_NAVIGATE).
- Entry Sequence: The sequence number for the entry within the menu. Auto-assigned if not provided for new entries.
- Prompt: The display text shown in the menu for this entry.
- Entry Description: Optional description of the menu entry.
- Sub Menu: The sub-menu to navigate to. Either Sub Menu or Function Name must be specified.
- Function Name: The form function to launch. Either Sub Menu or Function Name must be specified.
- Grant Flag: Y (default) = entry is grantable via security, N = not grantable.
- Delete Record: Set to Y to delete an existing menu entry.</t>
  </si>
  <si>
    <t>FND Menu Entry Upload</t>
  </si>
  <si>
    <t>Create and update Oracle E-Business Suite responsibilities, and maintain their menu/function exclusions, replicating the System Administrator Responsibilities form (FNDSCRSP).
Each row is one of two entity types, chosen in the Row Type column:
- Responsibility: creates or updates the responsibility definition (Name, Application, Key, Description, Effective Dates, Available From, Data Group, Menu, Request Group, Web Host/Agent Name). Responsibilities are identified by Application + Responsibility Key. A responsibility is created when that combination does not yet exist, otherwise it is updated. The Responsibility Key is the stable identifier and is not editable once created - to rename a responsibility change its Name, not its Key.
- Menu/Function Exclusion: adds (or, with Exclude = Yes, removes) a menu or function exclusion for the responsibility identified by Application + Responsibility Key. Exclusion Type selects Function or Menu; Exclusion Name selects the item to exclude. When adding a new responsibility and its exclusions in the same upload, place the Responsibility row before its exclusion rows.
Upload Modes:
- Create opens an empty template.
- Create, Update downloads existing responsibilities (and their exclusions) matching the Application / Responsibility filters for review and update.
Responsibilities are not deleted by this upload; set an Effective Date To to disable one, matching Oracle best practice.</t>
  </si>
  <si>
    <t>FND Responsibility Upload</t>
  </si>
  <si>
    <t>Listing and updating all EBS users and their responsiblities</t>
  </si>
  <si>
    <t>FND User Upload</t>
  </si>
  <si>
    <t>General Ledger</t>
  </si>
  <si>
    <t>This upload allows creation of new GL code combinations and update of existing ones. For creation of new code combinations, the upload requires the setup to allow dynamic inserts for code combinations.</t>
  </si>
  <si>
    <t>GL Account Upload</t>
  </si>
  <si>
    <t>GL Budget Amounts Upload
===================
This can be used to upload GL Budget Amounts</t>
  </si>
  <si>
    <t>GL Budget Amounts Upload</t>
  </si>
  <si>
    <t>GL Daily Rates Upload
==================
Use this upload to upload new or update existing GL Daily Exchange Rate Conversions.
If exchange rates do not already exist for the entered data, they will be created.
If exchange rates do already exist for the entered data, they will be updated.</t>
  </si>
  <si>
    <t>GL Daily Rates Upload</t>
  </si>
  <si>
    <t>GL Journal Upload
Templates are provided for the following Journal Types
- Functional Actuals
- Foreign Actuals
- Budget Journals
- Encumbrance Journals
Submit for Approval
---------------------------
Imported Journals requiring approval can be submitted for approval after import if they are eligble.
Submit Journal Post
---------------------------
Imported Journals can be submitted for immediate posting after import if they are eligible.
In order to submit journals for posting, the current responsibility must have access to post journals.</t>
  </si>
  <si>
    <t>GL Journal Upload</t>
  </si>
  <si>
    <t>This upload can be used to import Summary Account Templates.</t>
  </si>
  <si>
    <t>GL Summary Account Upload</t>
  </si>
  <si>
    <t>Collections</t>
  </si>
  <si>
    <t>Creates and updates Collection Notes in Oracle Collections (IEX)  - the same notes shown in the Collections work area.
Each note is attached at a single Note Level: Customer (party), Account, Bill To, or Collections Transaction.
The Note column is limited to 2,000 characters. The upload will reject the row if the note exceeds this.
The Note Detail column is limited to 4,000 characters. Note details exceeding this will be truncated.
Party Level Notes:
Pary Name is required
Party Number is required only when the Party Name is not unique.
Account Level Notes:
Party Name and Account Number are required.
Bill To Level Notes:
Party Name, Account Number and Bill To Location are required .
Operating Unit is optional unless the same Bill To Location (code) is used across accessible Operating Units.
Bill to Address is informational only.
Transaction Level Notes:
Party Name, Account Number, Transaction Number are required.
Bill To Site and Operating Unit are only required if the same transaction number exists across different accessible Bill To Sites/Operating Units.
Installment is optional unless the Transaction has muliple Installments, in which case it must be specified.
Only the Note Type, Note Status and descriptive flexfield attributes can be changed on an existing note; the note text and its target are read only. Download notes in Create, Update mode to reclassify them.</t>
  </si>
  <si>
    <t>IEX Collection Note Upload</t>
  </si>
  <si>
    <t>Public Sector Financials International</t>
  </si>
  <si>
    <t>Upload to create and maintain dossier transactions (budget transfers) for Oracle Public Sector Financials International (IGI). Supports header creation with source and destination budget lines using the seeded IGI Dossier Maintenance APIs.</t>
  </si>
  <si>
    <t>IGI Dossier Maintenance Upload</t>
  </si>
  <si>
    <t>Inventory</t>
  </si>
  <si>
    <t>Create, update and delete item-to-subinventory assignments (plus their optional item-subinventory-locator ties) across accessible inventory organizations.
Each row is one (Organization, Item, Subinventory, Locator?) combination. When the Locator column is blank, only the item-subinventory header is processed. When the Locator column is populated, the item-subinventory header (if not already processed in this run) AND the locator tie are processed. When multiple rows share the same Organization/Item/Subinventory triple, the header is processed only on the first row of the triple (siblings contribute only their locator portion); header cells on subsequent rows are silently ignored. Order data by Organization, Item, Subinventory, Locator to make sibling grouping deterministic.
Subinventory selection is restricted to Storage subinventories (Receiving subinventories cannot hold item assignments).
Download Locator Assignments controls whether the template pulls in existing locator ties. Choose Yes (the default) to see the current locator ties alongside each item-subinventory assignment. Leave blank to suppress them — useful when you only want to update item-subinventory header data without duplicated rows for each existing locator.
Min-Max Planning is a Yes/No flag matching the form's Min-Max checkbox: Yes enables Min-Max planning (and makes Min Qty / Max Qty required); blank means Not Planned. This choice is independent of the subinventory's own planning level.
PAR Level is only meaningful when the parent Subinventory has PAR Level planning enabled. If the Subinventory is not PAR-enabled, any PAR Level value supplied on the row is silently ignored on create, and any legacy stored value is cleared on update.
Source Type drives the conditional requirement on Source Organization and Source Subinventory. Inventory and Subinventory source types require Source Organization; Subinventory source type additionally restricts Source Organization to the row's own organization (same-org self-sourcing only). Supplier and blank source types must leave both source fields blank.
Delete Option lets you specify what to delete. Choose Subinventory to delete the item-subinventory assignment (cascades to all locator ties for that item-subinventory). Choose Locator to delete just the locator assignment on this row (only offered when Locator is populated). Once a row deletes an item-subinventory, any subsequent rows for the same Organization/Item/Subinventory triple are rejected with a clear error to prevent orphaned inserts on the deleted parent.
Organization, Item, Subinventory and Locator are read-only on existing rows — to change a key column, delete the row and create a new one.
Stock locators referenced here must already exist in the chosen Subinventory (use the INV Stock Locator Upload to create them).</t>
  </si>
  <si>
    <t>INV Item Subinventory Upload</t>
  </si>
  <si>
    <t>This upload can be used to create and update Item transaction default subinventories and locators</t>
  </si>
  <si>
    <t>INV Item Transaction Defaults Upload</t>
  </si>
  <si>
    <t>INV Inventory Item Upload
======================
This upload can be used to create and update Inventory Items.
It supports creation of Inventory Items:
- by manually entering the Item details.
- from a master row, with optional semicolon-separated child organization assignments
- from an item template (Copy from Template)
- from an existing item in the same Organization (Copy from Item)
It supports update of existing Inventory Items either by:
- update the details of an existing inventory items by downloading the items to be updated. Use the report parameters to select and download the items to be updated.
- pasting the details of the items to be updated into an empty upload excel.
It also supports the item category assignment to multiple Inventory Category Sets
-  to assign an item to another category set, repeat the Organization Code and Item Number on a separate row in the excel and add the details of the additional category set and item category to which the item is to be assigned.
- for child organizations, only the category sets controlled at the organization level can be selected.
- to remove an existing category assignment, download the item first, then set the Delete Category column to Yes on the row showing the Category Set and Item Category to be removed. Deletion is not permitted for mandatory category sets that require the item to remain assigned.
Additionally
- supports creation and update of item revisions
- supports creation, update, and deletion of manufacturer part numbers
Upload Mode parameter:
Create - allows creation of new items only
Update - allows updates to existing items only
Create, Update – allows the creation of new items and the updating of existing items
Create Empty File parameter
Setting the Create Empty File parameter to Yes will open an empty upload excel. 
This parameter is only applicable to the 'Update' and 'Create, Update' upload modes and suppresses the download of existing item details. ‘Create’ upload mode always opens an empty upload excel regardless of the setting of this parameter.
This is useful for users who want to paste the details of the items to be updated into an empty upload excel file from another source.
Update on Create Null Handling
In Create, Update mode the upload allows a Create action to update an existing item if it already exists. This parameter determines how null values are handled when a create action results in an update to an existing item.
'Null means Clear' - the upload will clear the data from the corresponding column (set it to null).
'Null means No Change' - the upload will leave the data in the corresponding column unchanged.
Number of Import Workers parameter
This parameter determines the number of Item Import worker concurrent requests that will be submitted in parallel to import the uploaded items into Oracle Inventory. The number of workers can be increased to improve the throughput of the process when uploading a larger number of item changes.
Remaining parameters
The remaining parameters are used to restrict the items to be downloaded for update in ‘Update’ or ‘Create, Update’ mode, and only when the ‘Create Empty File’ parameter is not set to Yes.  
Available Templates
Use the pre-defined templates to restrict the Item Attributes to be displayed and updated in the report. Alternatively, users can define their own custom template containing the Item Attributes of interest.
NOTE:
When creating new child items, the master-controlled item attributes are not passed to the Import API so they are defaulted from the Master Org. 
When updating existing child items, the master-controlled item attributes are copied directly from the Master Org, in case there is any pre-existing inconsistency between the Child Org and Master Org values. 
Effectively this means, for creation/updates to items in child organizations, the uploaded values for Master Controlled Item attributes are not considered by upload.
</t>
  </si>
  <si>
    <t>INV Item Upload</t>
  </si>
  <si>
    <t>Item user-defined attribute (UDA) values upload for Oracle Product Information Management (PIM / Advanced Product Catalog).
Creates, updates and deletes item user-defined attribute values (attribute groups defined in the item catalog) at the item, item organization and item revision data levels through the Oracle EGO user attributes API. Each upload row carries one attribute value; the rows of one attribute group row instance (same item, data level, attribute group and row number) are processed together.
For multi-row attribute groups, enter a Row Number to group the attribute values belonging to one row and include the group's unique key attributes on every row. Set Delete Row to Yes to delete a complete attribute group row.
Enter date attribute values in format DD-MON-YYYY, and enter a UOM for numeric attributes that have a unit of measure class. Users need PIM edit privileges on the items (for example through an item owner role); the upload enforces the same item and attribute group security as the PIM pages.
Only attribute groups associated to item catalog categories are included. The seeded Detailed Description and Images item features are not user-defined attribute groups and are excluded, and supplier association data levels (item supplier, item supplier site, item supplier site organization) are not supported.</t>
  </si>
  <si>
    <t>INV Item User Defined Attribute Upload</t>
  </si>
  <si>
    <t>INV Manufacturer Upload
======================
This upload can be used to create, update and delete Manufacturers.
</t>
  </si>
  <si>
    <t>INV Manufacturer Upload</t>
  </si>
  <si>
    <t>This upload supports the purging of existing Physical Inventories. 
For each Physical Inventory to be purged the user can select to purge the tags only, or to purge the full Physical Inventory.
On upload, the upload process will submit the standard 'Purge physical inventory information' concurrent program for each Physical Inventory to be purged.
To improve performance of the upload process, the upload does not wait for completion of the purge concurrent requests before completing.
The ‘Create, Update’ upload mode can be used to first download the Physical Inventories to be purged for initial review and selection.
Alternatively, the ‘Create’ upload mode can be used to generate an empty upload excel into which the details of the Physical Inventories to be purged can be pasted. In this mode the only columns that need to be populated in the excel are the Organization Code, Physical Inventory Name, and the Purge Option. 
</t>
  </si>
  <si>
    <t>INV Physical Inventory Purge Upload</t>
  </si>
  <si>
    <t>INV Physical Inventory Tag Count Upload
=================================
This upload enables the user to upload counts against the Physical Inventory Tags defined against the specified Physical Inventory.
The upload supports
- the update of counts against existing Tags
- the generation of new tags.
  For clients on R12.2.14 or later, creation of manually entered tag numbers is supported 
  For clients on earlier releases, to generate a new tag leave the tag number blank. The tag number will be automatically generated when the tag is created
For clients on R12.2.3 or later
- the upload also supports the voiding/unvoiding of existing tags as well
Note:
There is currently a bug in the R12.2.3+ API that will reject the creation/update of tags for items which do not require Locators in Subinvnetories where the Locator Control is set to 'Check Item Level'. The API is only checking the Locator control level at the subinventory level, and if it is not set to 'Locators not required' will reject any tags for items where no locator is specified. For this reason, if the physical inventory being uploaded includes any subinventories with Locator Control set to 'Check Item Level', the upload will revert to using the older API.   
</t>
  </si>
  <si>
    <t>INV Physical Inventory Tag Count Upload</t>
  </si>
  <si>
    <t>This upload supports the creation of new Physical Inventories and the update of existing Physical Inventories that have not yet been frozen.
The upload supports the specification of the subinventories to be included in the Physical Inventory. 
When updating an existing Physical Inventory, the Delete Subinventory upload column allows for individual subinventories to be removed from the Physical Inventory subinventory list.
Replace Existing Subinventories
==========================
When the Replace Existing Subinventories report parameter is set to Yes, the existing physical inventory subinventories will be replaced by those specified in the upload.
When set to No, the upload will update the existing Physical Inventory subinventories, create additional subinventories, or delete specific subinventories as determined from the uploaded data.
Freeze Physical Inventory
===================== 
When set to Yes, the Freeze Physical Inventory concurrent program will be submitted after the upload is complete to freeze the uploaded Physical Inventories.
This will only occur for each uploaded Physical Inventory if no upload error has occurred in any upload row for that Physical Inventory.
Once a Physical Inventory has been frozen, it can no longer be updated by this upload.
The Snapshot Complete and Freeze Date columns in the upload excel are display only columns. They will be displayed after the upload when the Freeze Physical Inventory option is selected.  
</t>
  </si>
  <si>
    <t>INV Physical Inventory Upload</t>
  </si>
  <si>
    <t>INV Safety Stock Upload
================================
- Upload New Safety Stock Entries.
- Update Existing Safety Stock Entries.
- Delete Existing Saffety Stock Entries (Delete by setting the 'Delete This Entry' = Yes).
Upload Modes
============
Create
------
Opens an empty spreadsheet where the user can enter new Safety Stock Quantities
Create or Update
-----------------
Create new Safety Stock entries and/or modify existing Safety Stock entries.
Allows the user to 
- download existing Safety Stock entiries based on the selection criteria specified in the report parameters.
- modify (update/delete) the downloaded Safety Stock entries
- create new Safety Stock entries
Note:
The greyed out columns are display only and included to provide additional information. These cannot be altered and are ignored by the upload.
</t>
  </si>
  <si>
    <t>INV Safety Stock Upload</t>
  </si>
  <si>
    <t>Create, update and delete Stock Locators.
Note on entering a locator as a concatenated segment value: if a segment value contains the KFF delimiter character or a backslash (\), each such character must be preceded with a backslash. For example, with delimiter '.', the segment value '1\4\4.' must be written as '1\\4\\4\.'</t>
  </si>
  <si>
    <t>INV Stock Locator Upload</t>
  </si>
  <si>
    <t>Create and update Subinventories across accessible inventory organizations.
Accounts and Default Cost Group are tightly linked; the behavior depends on the organization's configuration:
- WMS=No + Standard cost method (with no on-hand or transaction history): the accounts drive the Cost Group. Enter any valid GL detail accounts and the upload auto-resolves the Cost Group — switching to an existing Cost Group whose 7 accounts match, or creating a new one when none matches. The Cost Group action taken is reported in the success message.
- WMS=Yes (any cost method): the Cost Group drives the accounts. Selecting a Cost Group sets all 7 accounts (Material, Outside Processing, Material Overhead, Overhead, Resource, Expense, Encumbrance) to its assigned values. Changing the Cost Group on an existing Subinventory automatically switches all 7 accounts, including clearing accounts that are NULL on the new Cost Group.
- WMS=No + (non-Standard cost method OR the subinventory has on-hand/transaction history): the Cost Group is fixed (existing value on Update, organization default on Create) and the accounts follow it.
All account LOVs restrict to enabled detail (non-summary) GL accounts in the organization's chart of accounts. The Cost Group LOV likewise restricts to selectable Cost Groups per the rules above.
Material Status changes require Oracle's electronic signature workflow when ERES is enabled — those changes must be made via the Subinventories form to preserve the e-signature audit trail.
There is no Delete option — Subinventories can only be inactivated (set Inactive On to a past date).</t>
  </si>
  <si>
    <t>INV Subinventory Upload</t>
  </si>
  <si>
    <t>INV Transaction Upload
======================
This upload can be used to create Inventory Material Transactions.
The following upload modes are supported:
Create – Generates an empty upload file. Transaction details must be entered manually. The Create mode always opens a blank Excel template, regardless of any parameter settings.
Create, Update – Based on the selected parameters, this mode can generate a pre-populated file with details such as item, primary unit of measure, and transaction date (defaulted to today’s date). It also displays the current on-hand quantity for each item, allowing users to transact against existing stock. Additionally, users can create new transactions by entering details manually
Note :
-- For "Account alias issue" transaction Type - Transaction Source needs to be selected for this Transaction Type, Don't select Account Alias.
-- For "Account alias receipt" transaction Type - Transaction Source needs to be selected for this Transaction Type, Don't select Account Alias.
-- For "Account issue" transaction Type - Account Alias needs to be selected for this Transaction Type, Don't select Transaction Source.
-- For "Account receipt" transaction Type - Account Alias needs to be selected for this Transaction Type, Don't select Transaction Source.</t>
  </si>
  <si>
    <t>INV Transaction Upload</t>
  </si>
  <si>
    <t>INV Unit Of Measure Conversion Upload
=============================
In R12.2 and later:
This upload enables the user to 
- upload new unit of measure conversions
- update existing unit of measure conversions. 
The upload supports the following unit of measure conversion types:
- Standard, Intra-Class and Inter-Class, Lot Specific Inter-class
In R12.1:
The functionality is restricted to creating new Item specific Intra-Class and Inter-Class conversions only.
Update of existing unit of measure conversions is not supported in R12.1
Creation of Standard and Lot specific unit of measure conversions is not supported in R12.1
</t>
  </si>
  <si>
    <t>INV Unit Of Measure Conversion Upload</t>
  </si>
  <si>
    <t>INV Unit Of Measure Upload
======================
Note: This upload can only be used in R12.2 or later.
This upload can be used to create and update Unit of Measure Classes and Units of Measures</t>
  </si>
  <si>
    <t>INV Unit Of Measure Upload</t>
  </si>
  <si>
    <t>Asia/Pacific Localizations</t>
  </si>
  <si>
    <t>JA India Third Party Registration Upload
=========================================
Use this upload to create or update India Localization Third Party Registrations for customers and suppliers, including tax/registration identifiers such as PAN, TAN, TIN, GST, Service Tax, and other India-specific registration numbers.
This upload also supports Reporting Codes linked to Third Party Registrations.
NOTE: If you are creating new records for a third party, enter and upload all Registration records first, and then enter and upload the Reporting Code records.
Available columns:
1.Record Type: Select either Registration or Reporting Code. This determines whether you are creating/updating a registration record or a reporting code record.
2.Operating Unit: Select the Operating Unit to retrieve the list of party sites for that OU, or leave blank if you are entering a registration without a site (null site registration).
3.Party Type: Select Supplier or Customer. The available Party Numbers depend on this selection.
4.Party Number: Enter the Supplier Number or Customer Number. You can use the list of values (LOV); entering a few starting characters/numbers helps narrow the list.
5.Party Name: Auto-populates after you enter the Party Number. You can also use the LOV to search by Supplier/Customer name; the LOV displays the Party Number as well.
6.Party Site Name: Select the Party Site based on the Operating Unit. Leave blank for a null site registration.
7.Registration Regime Code, Registration Type, Registration Number, Secondary Registration Type, Secondary Registration Number: Enter these fields to create/update a party registration. These fields are available only when Record Type = Registration.
8.Assessable Price List: Enter an Assessable Price List when the selected Regime Code is a Non-TDS Regime. Available only when Record Type = Registration.
9.Default TDS Section: Enter a Default TDS Section code when the selected Regime Code is a TDS Regime. Available only when Record Type = Registration.
10.Registration Start Date, Registration End Date: Enter the effective dates for the registration. The Start Date defaults to 01-Jul-2017 (GST implementation date in India), but you can change it as needed.
11.Reporting Code Regime Code, Reporting Code Type, Reporting Code: Enter these fields to create/update a reporting code for the registration. These fields are available only when Record Type = Reporting Code.
12.Reporting Code Start Date, Reporting Code End Date: Enter the effective dates for the reporting code. The Start Date defaults to 01-Jul-2017, but you can change it as needed.
</t>
  </si>
  <si>
    <t>JA India Third Party Registration Upload</t>
  </si>
  <si>
    <t>Master Scheduling/MRP</t>
  </si>
  <si>
    <t>MRP Item Forecast Upload
================================
- Create New Item Forecast Entries.
- Update Existing Item Forecast Entries.
- Delete Existing Item Forecast Entries (Delete by setting the Forecast Quantity = 0).
Prerequisites/Restrictions
==========================
- Forecast Designators must be defined.
- Item Forecasts can only be uploaded to a Forecast, not a Forecast Set.
Upload Modes
============
Create
------
Opens an empty spreadsheet where the user can enter new Forecast Entries against any accessible Forecast. 
Use the Organization Code, Forecast Set, Forecast Name parameters to restrict the Organizations, Forecast Sets, and Forecasts LOVs in the spreadsheet.
Create and Update
-----------------
Create new Forecast Entries and/or Modify Existing Forecast Entries.
Allows the user to 
- download existing Forecast Entries for the Forecasts meeting the entered selection criteria.
- modify (add/update/delete) the Forecast Entries within the downloaded Forecasts.
- create new Forecast Entries in any accessible Forecast.
This mode allows the creation of Forecast Entries against Forecasts not included in the download.
This mode can be used for downloading Forecast Entries from an existing Forecast and copying them to a different Forecast.
Update
------
Modify (Add/Update/Delete) Forecast Entries against the downloaded Forecasts only.
Allows the user to 
- download existing Forecast Entries for the Forecasts meeting the entered selection criteria.
- modify (add/update/delete) the Forecast Entries within the downloaded Forecasts only.
This mode does not allow the creation of Forecast Entries against Forecasts not included in the download.
Parameters that control the upload behaviour: 
======================================
Delete Existing Forecast
-----------------------
Select ‘DELETE all existing forecast entries and replace’ if this upload will replace all existing entries in the forecast. In this case all existing forecast entries are deleted before the new forecast entries are loaded.
Select ‘KEEP existing forecast entries and update’ if this upload is creating new entries to add to the forecast and/or updating/deleting specific forecast entries. In this case the existing forecast entries are retained.
The option to delete the existing forecast is only available when the upload is run in the Create upload mode.
Default Bucket Type
---------------------------
This is the default bucket type used for the forecast entries if not specified in the upload spreadsheet. It will default from the selected forecast name, selected forecast set or will default to Days if a Forecast Set or Forecast Name is not specified.
This can be overridden in the Upload spreadsheet for individual forecast entries.
Default Workday Control
---------------------------------
This parameter determines the default behaviour for handling a non-workday forecast date or forecast end date. 
The options are Reject the forecast entry, shift the date backwards to the previous working bucket date, or shift the date forward to the next working bucket date.   
This can be overridden in the Upload spreadsheet for individual forecast entries.
</t>
  </si>
  <si>
    <t>MRP Item Forecast Upload</t>
  </si>
  <si>
    <t>MRP Master Schedule Upload
==========================
- Create new MDS/MPS schedule entries.
- Create and Update existing schedule entries.
Each row stages one schedule entry into the MRP schedule interface (mrp_schedule_interface, process_status=2) for an existing schedule designator (MDS or MPS). The staged entries are loaded into the master schedule (mrp_schedule_dates) asynchronously by the customer's MRP Planning Manager.
Upload Modes
============
Create - opens an empty spreadsheet to enter new schedule entries against any accessible schedule designator.
Create and Update - downloads existing schedule entries for the selected schedule designators and lets the user add new entries and re-stage modifications. Existing entries are matched on the hidden Transaction Id.
Prerequisites
=============
- Schedule designators (Master Demand Schedule / Master Production Schedule) must be defined.
</t>
  </si>
  <si>
    <t>MRP Master Schedule Upload</t>
  </si>
  <si>
    <t>MRP Sourcing Rule Assignment Upload
=============================
- Upload new Assignment Sets and Sourcing Rule Assignments
- Update Existing Assignment Sets and Sourcing Rule Assignments
Notes:
If an Assignment Organization is specified, then this determines the selecatable items. 
If an Assignment Organization is not specified, then the Master Organization determines the selectable Items.
The selectable Assignment Organizations is not restricted by the Master Organization. 
This is the same logic as used in the Sourcing Assignments form
</t>
  </si>
  <si>
    <t>MRP Sourcing Rule Assignment Upload</t>
  </si>
  <si>
    <t>MRP Sourcing Rule Upload
====================
- Upload new Sourcing Rules
- Update Existing Sourcing Rules</t>
  </si>
  <si>
    <t>MRP Sourcing Rule Upload</t>
  </si>
  <si>
    <t>Advanced Supply Chain Planning</t>
  </si>
  <si>
    <t>Report: MSC Plan Orders Upload
Description: Upload to action Plan Order recommendations.
This upload can be used to either select for release or release Plan Order Recommendations from ASCP planning instances.
Currently supported recommendations that can be actioned by this upload are:
- Planned Order Releases
- Reschedule In/Out recommendations
 Additionally, it allows the user to amend the recommended Implement Date and/or Quantity.
In the generated Excel the user can amend the following columns:
- Implement Date
- Implement Quantity
- Update Release Status
Update Release Status can be either
- Select for Release
- Release the Order
This is determined by the Report Parameter: Upload Mode
For plan orders not yet selected for release, to amend the implement date and/or implement quantity, the Update Release Status column must also be specified as 'Select for Release' or 'Release the Order' against the Plan Order. 
If a plan order is already selected for release, then the user can amend the implement date and/or quantity in the generated excel without specifying a value in the Update Release Status column.
The report parameter Upload mode determines the allowable action to be taken against the plan order recommendations in the upload ('Select for Release' or 'Release the Order') 
The report parameter Auto Populate Release Status  if set to Yes, will automatically populate the 'Update Release Status' column and set the status to pending validation against all downloaded plan order recommendations in the generated excel. 
In this scenario, the generated excel can be saved and uploaded without the user needing to manually review and select the specific plan orders to be updated in the generated excel
</t>
  </si>
  <si>
    <t>MSC Plan Order Upload</t>
  </si>
  <si>
    <t>MSC Sourcing Rule Assignment Upload
=============================
- Upload new Assignment Sets and Sourcing Rule Assignments
- Update Existing Assignment Sets and Sourcing Rule Assignments
Notes:
If an Assignment Organization is specified, then this determines the selecatable items. 
If an Assignment Organization is not specified, then the Master Organization determines the selectable Items.
The selectable Assignment Organizations is not restricted by the Master Organization. 
This is the same logic as used in the Sourcing Assignments form
</t>
  </si>
  <si>
    <t>MSC Sourcing Rule Assignment Upload</t>
  </si>
  <si>
    <t>Order Management</t>
  </si>
  <si>
    <t>Upload to Create, Update, Book and Cancel Sales Orders in Oracle Order Management.
Supports creating new orders, updating existing orders, adding new lines to existing orders, booking orders and cancelling orders.</t>
  </si>
  <si>
    <t>ONT Order Upload</t>
  </si>
  <si>
    <t>Bulk closes open Oracle Order Management sales quotes (documents in the Negotiation transaction phase) - useful for cleaning up large volumes of old draft quotes.
Download the open quotes, keep the rows you want to close, set a Close Reason, and upload. Each quote is driven to the Lost terminal (status Lost, no longer open) through the standard negotiation workflow, and the reason is recorded against the quote.
Quotes are identified by Quote Number and Operating Unit, so you can also paste those two values from an external list instead of downloading. Only open quotes are closed - an order number or an already-closed quote is reported back and left untouched.
Cancelled and Closed are order (fulfillment) statuses and do not apply to a quote - Lost is the correct terminal for a quote you are no longer pursuing. To keep win/loss reporting clean, add a custom OFFER_LOST lookup value (for example Obsolete) and select it as the Close Reason, so data-cleanup closures are distinguishable from genuine competitive losses.
Use the Created Before parameter to target quotes older than a given date, and Quote Number to close a single quote.</t>
  </si>
  <si>
    <t>ONT Sales Quote Close Upload</t>
  </si>
  <si>
    <t>Process Manufacturing</t>
  </si>
  <si>
    <t>OPM Formula Upload
==================
Create or update Oracle Process Manufacturing (OPM / GMD) Formulas via the public API GMD_FORMULA_PUB / GMD_FORMULA_DETAIL_PUB.
Row model
=========
One spreadsheet row per formula LINE. The header columns (Organization Code, Formula, Formula Version, Description, Class, Owner, Header Scale Type, Status, header attributes) repeat on every line of the same formula. Each line carries its Line Type (Ingredient / Product / By-Product) plus its item, quantity, UOM, scale, and line attributes. Rows of the same formula (Organization Code + Formula + Formula Version) must be contiguous.
Every formula must have at least one Ingredient AND at least one Product (OPM requirement) - a header-only formula is rejected.
Upload modes
============
Create - empty template for new formulas.
Create, Update - downloads existing formulas in the chosen organization for review/edit and allows adding new ones. Existing formulas are matched on Organization Code + Formula + Formula Version.
Notes
=====
- Items must be recipe-enabled in the owner organization. Detail UOM must be convertible from the item's primary UOM.
- New formulas are created in status New (100); status changes are a workflow operation and are not driven by this upload.
- On update, header description/class/owner and line quantities/attributes are updated; new lines are added. The owner organization and version are the key and cannot be changed.</t>
  </si>
  <si>
    <t>OPM Formula Upload</t>
  </si>
  <si>
    <t>OPM Recipe Upload</t>
  </si>
  <si>
    <t>OPM Routing Upload
==================
Create or update Oracle Process Manufacturing (OPM / GMD) Routings via the public API GMD_ROUTINGS_PUB / GMD_ROUTING_STEPS_PUB.
Row model
=========
One spreadsheet row per routing STEP. The header columns (Organization Code, Routing, Routing Version, Description, Class, UOM, dates, owner, header attributes) repeat on every step of the same routing. Each step carries its Step No, Operation (No + Version), Step Quantity, Release Type, and step attributes. Rows of the same routing (Organization Code + Routing + Routing Version) must be contiguous. Every routing must have at least one step.
Step dependencies (optional)
============================
To make a step depend on a predecessor step, fill Depends On Step No (and optionally Standard / Minimum / Maximum Delay, Transfer Percent, Rework Code, Chargeable) on that step's row. For a step with more than one predecessor, add extra rows that repeat the Step No, leave Operation blank, and give a different Depends On Step No. Dependency Type is always Finish-to-Start.
Operations must already exist
=============================
Operations are referenced, not created - the Operation (No + Version) must already exist in the routing's organization, effective for the routing's dates.
Upload modes
============
Create - empty template for new routings.
Create, Update - downloads existing routings in the chosen organization for review/edit and allows adding new ones.
Update limitations (public API)
===============================
On update, the OPM public API only allows changing a routing's Status, Routing Class, Routing UOM, Fixed Process Loss UOM, Owner and Organization at the header level; Description, Quantity, Process Loss, effective dates and the step-dependency flags are set at create time only. Steps can be added and their quantity / release type / yield updated.</t>
  </si>
  <si>
    <t>OPM Routing Upload</t>
  </si>
  <si>
    <t>Time and Labor</t>
  </si>
  <si>
    <t>OTL Timecard Upload
===================
Create, update and delete Oracle Time and Labor (OTL / HXC) timecards via the public TimeStore deposit API hxc_timestore_deposit, as an Excel-based alternative to self-service time entry.
Row model
=========
One spreadsheet row per timecard line and day: Employee, Date, classification and Hours. Rows are grouped into timecards by employee and the OTL timecard period (e.g. the weekly period from the employee's OTL preferences) containing the Date. Rows of the same employee and period must be contiguous and are deposited together as one timecard. The Period Starting column fills automatically once Employee and Date are entered.
Classification
==============
Each line is classified either for Projects (Project, Task and Expenditure Type - straight time) or for Payroll (Hours Type = payroll element). The deposit derives the employee's application set, approval style and security context from the OTL preferences, exactly like self-service time entry.
Run the upload under a responsibility whose operating unit context matches the projects being charged (e.g. the OTL or Projects responsibility the employees use) - the deposit validates the project, task, expenditure type and expenditure organization under the session's operating unit, exactly like self-service time entry.
Save and submit
===============
Leave Submit blank to save the timecard in Working status. Set Submit to Yes on any row of a timecard to submit it for approval (the OTL approval workflow starts, e.g. HR supervisor approval). Updating a timecard that is already Submitted or Approved re-submits it for approval automatically.
Updates and deletes
===================
Downloaded lines carry hidden building block ids and are updated through the OTL deposit API, which creates a new timecard version and re-routes approval. Set Delete Line to Yes to remove a line; deleting all lines of a timecard deletes the whole timecard. Timecards already transferred to a recipient application (Projects, Payroll/BEE or Purchasing) are protected and cannot be modified by the upload.
Upload modes
============
Create - empty template for new timecards.
Create, Update - downloads existing timecards (project and payroll element lines) for review, correction, resubmission or deletion.</t>
  </si>
  <si>
    <t>OTL Timecard Upload</t>
  </si>
  <si>
    <t>Projects</t>
  </si>
  <si>
    <t>The PA Budget Upload supports the creation/update of standard project budgets. 
At this stage it does not support the creation/update of Financial Plan Budgets.
The PA Budget Upload allows users to:
- Create new working budgets.
When creating a new working budget, any existing working budget for the specified Project and Budget Type will be overwritten.
The upload allows the user to create a working budget either by entering the data directly into an empty upload excel file, or by copying a prior version of the budget and modifying this in the upload excel file.
- Update existing working budgets.
This option allows for the update of an existing working budget. In this mode the existing budget is retained, and the update mode allows for individual budget lines to be added, updated, and/or deleted from the existing working budget.
- Additionally, the upload allows users to Baseline a Working Budget.
Working Budgets can be uploaded against the Projects belonging to the Operating Units accessible to the responsibility in which the PA Budget Upload process is run.
</t>
  </si>
  <si>
    <t>PA Budget Upload</t>
  </si>
  <si>
    <t>PA Event Upload
===================
This upload can be used to create new Project Billing and Revenue Events against the Projects belonging to the Operating Units accessible to the current responsibility.
If the Operating Unit parameter is specified, then the upload will be restricted to Projects within the specified Operating Unit only.
</t>
  </si>
  <si>
    <t>PA Event Upload</t>
  </si>
  <si>
    <t>PA Project Asset Upload
======================
Create, update, or delete project assets and their task assignments for Oracle Projects capital projects, using the public API pa_project_assets_pub.
Supported Actions:
- Create / Update project asset (ESTIMATED or AS-BUILT types only — RETIREMENT_ADJUSTMENT is excluded)
- Add / Delete asset-to-task assignment (top-task rollup or leaf-task)
Row Structure (bundled parent-child):
- One row per (asset, assignment) pair
- Leave Assignment Task Number blank on a row to create/update just the asset header with no assignment
- For multiple assignments on the same asset, repeat the asset columns on subsequent rows with different Task Numbers
Report Parameters:
- Upload Mode: 'Create' or 'Create, Update'
- Operating Unit: filters Project LOV
- Project Number: the capital project (pa_projects_all.segment1) to which uploaded assets belong
Notes:
- Capitalization and Reversal are NOT supported via this upload — use the Capital Assets form for those workflow actions
- The Depreciation Expense Account KFF is resolved against the chart of accounts of the project's ledger
- Asset-to-task assignments do not support an update API — to modify an existing assignment DFF, delete and re-add</t>
  </si>
  <si>
    <t>PA Project Asset Upload</t>
  </si>
  <si>
    <t>PA Project Upload
===================
Create and update Projects in Oracle Projects using the pa_project_pub API.
Create Mode:
- Select a Template to populate default values (project type, organization, billing setup, etc.)
- Template-specific required fields (customer, organization, completion date, etc.) are validated in Excel before upload
- Project Manager can differ from the template PM — the template PM is replaced post-creation
- PM Product Code determines which external PM system owns the project (default: Primavera). Do NOT use Microsoft Project — it blocks date updates due to Oracle bug 12954344.
Update Mode:
- Use "Create, Update" upload mode to download existing projects, modify fields, and re-upload
- Only changed fields are updated — unchanged fields are preserved
- Project Manager changes: the current active PM is end-dated and the new PM is assigned from today
- If no active PM exists (all end-dated), the new PM is simply assigned
- Start Date and Completion Date can be changed, cleared, or added
- Customer and PM Product Code are set on creation only and not changed on update
Field Length Limits:
- Project Number: 25 characters
- Project Name: 30 characters
- Long Name: 240 characters
- Description: 250 characters
Supported Fields:
Project identifiers, dates, billing setup (labor/non-labor schedules, bill rate schedules, burden schedules), billing currency settings, flags (baseline funding, multi-currency billing, cross charge, retention, capital interest, etc.), transfer price schedules, work type, calendar, location, role list, probability, priority, job groups, security level, invoice format, asset/capital settings, tax codes, DFF attributes (1-10), customer, and PM product code.</t>
  </si>
  <si>
    <t>PA Project Upload</t>
  </si>
  <si>
    <t>PA Task Upload
======================
Create new tasks or update existing task attributes within Oracle Projects using APIs pa_project_pub.add_task and pa_project_pub.update_task.
This upload does not create projects — it operates on tasks within existing projects.
Supported Actions:
- Create: Add new top-level tasks, child tasks under existing parents, or entire parent-child hierarchies
- Update: Modify attributes of existing tasks (organization, manager, work type, flags, schedules, etc.)
Report Parameters:
- Upload Mode: 'Create' for new tasks only, or 'Create, Update' for both
- Operating Unit: Filter download to a specific operating unit
- Project Number: Filter download to a specific project
- Project Name: Filter download to a specific project by name
- Project Type: Filter download to a specific project type
- Project Status: Filter download to a specific project status
Uploadable Columns:
- Task Identity: Task Number, Task Name, Long Task Name, Task Description
- Hierarchy: Parent Task Number (to create child tasks or reparent)
- Dates: Task Start Date, Task Completion Date
- Organization: Carrying Out Organization, Task Manager
- Classification: Service Type, Work Type
- Flags: Chargeable, Billable, Receive Project Invoice, Ready to Bill, Ready to Distribute, Limit to Txn Controls, Allow Cross Charge, Retirement Cost, Capital Interest (CINT) Eligible
- Labor Billing: Labor Schedule Type, Labor Std Bill Rate Schedule, Labor Schedule Fixed Date, Labor Schedule Discount, Employee Bill Rate Schedule, Labor Cost Multiplier
- Non-Labor Billing: NL Schedule Type, NL Bill Rate Org, NL Std Bill Rate Schedule, NL Schedule Fixed Date, NL Schedule Discount, Job Bill Rate Schedule, Non-Labor Std Bill Rate Schedule
- Burden Schedules: Cost/Revenue/Invoice Burden Schedule and Fixed Dates
- Transfer Pricing: Labor/NL TP Schedule and Fixed Dates, Intercompany Labor/NL TP Schedule and Fixed Dates, CC Process Labor/NL Flags
- Rate Info: Project Rate Type/Date, Task Functional Cost Rate Type/Date
- Revenue/Invoice: Invoice Method, Customer Name, Gen ETC Source Code, CINT Stop Date
- Address: Task Address
- DFF: Attribute Category, Attributes 1-10
- Publish Structure: Set to 'Yes' on the last task row of a project to publish the working structure version after upload
Structure Version Handling:
- For projects without workplan versioning: tasks are added/updated directly — no special handling needed
- For versioned projects with a WORKING structure version: the upload uses the WORKING version automatically
- For versioned projects with only a PUBLISHED version (no WORKING version): task add/update is NOT supported and records will be errored
Unsupported Project Configurations:
- Projects with workplan versioning enabled (Workplan Attributes &gt; Enable Versioning = Yes) that have no WORKING structure version will fail with: "The structure version cannot be updated"
- This typically affects projects where:
  a) All structure versions have been published and none are in working/draft status
  b) Auto-publish is enabled and no manual working version has been created
Workaround for Unsupported Projects:
1. Navigate to Projects &gt; Project Super User &gt; Projects
2. Query the project and go to the Workplan tab
3. Click "Update Workplan" to create a new WORKING structure version
4. Re-run the upload — it will now pick up the WORKING version and succeed
5. After the upload completes, publish the working version from the Workplan tab if needed
Notes:
- To modify tasks on projects owned by other users, the profile option 'PA: Cross Project User -- Update' must be enabled at the responsibility level
- Tasks with existing expenditure items cannot have new subtasks created below them
- When updating tasks, the task number itself is not modified — only other attributes are updated
- The PM Product Code must be a valid value registered in the PA_LOOKUPS lookup type PM_PRODUCT_CODE (e.g., MSPROJECT, PRIMAVERA)</t>
  </si>
  <si>
    <t>PA Task Upload</t>
  </si>
  <si>
    <t>PA Transaction Upload
===================
This upload can be used to upload transactions from external cost collection systems into Oracle Projects. 
Transaction Import creates pre-approved expenditure items from transaction data entered in external cost collection systems.
If the 'Operating Unit' and/or 'Transaction Source' parameters are specified, then the upload excel will be restricted to the specified Operating Unit and/or Transaction Source.
If the 'Batch Name' parameter is specified, this will default as the Batch Name in the upload Excel.
If the 'All Negative Expend Unmatched' parameter is set to Yes, then all negative transations then the 'Unmatched Negative Txn Flag' column will automatically default to Yes against any negative transactions entered into upload Excel.
If the 'Reverse in Future Period' parameter is set to Yes, then the 'Accrual Flag' column will default to Yes against every transaction entered in the upload Excel  
</t>
  </si>
  <si>
    <t>PA Transaction Upload</t>
  </si>
  <si>
    <t>Human Resources</t>
  </si>
  <si>
    <t>Upload to create, update, and delete HR Locations.
Supports all country-specific address styles with address field validation.
Includes site flags (Ship-To, Bill-To, Receiving, Office, Internal) with autocorrection for Ship-To and Receiving flags based on the Ship-To Location relationship.
Includes the Descriptive Flexfield attributes with validation.
Business group security restricts downloaded locations to the user's current business group plus global locations. New locations can optionally be made local by assigning the location to the user's current business group. If not assigned to a business group, the location is a global location. 
Legal Address locations are protected from inactivation and deletion. The upload cannot set or change the Legal Address Flag. This is for information only.
By default, new locations are created with themselves as the ship to location (self-referencing)
The upload will automatically set the ship to site flag based on the ship to location. When the ship to site is self-referencing, the ship to flag and receiving flag are always set to Yes. If the ship to location references a different location, the ship to site flag will be set to No. 
If the ship to site flag is set to Yes, the receiving site flag is also set to Yes. Otherwise, the receiving site flag will be set as specified in the upload excel. 
</t>
  </si>
  <si>
    <t>PER Location Upload</t>
  </si>
  <si>
    <t>Upload to create and update organizations, organization classifications, and organization information types within Oracle HRMS.
Scope:
- Create new organizations, assign classifications and information types, and specify the information type attributes
- Update existing organization data, classifications (enable/disable), and the information type attributes
- Supports all organization classification types: Business Groups (excluding creation of new Business Groups), HR Organization, Operating Unit, GRE/Legal Entity, Company Cost Center, Inventory Organization, etc.
- Supports creation/update of single-row (GS) and multi-row (GM) organization information types and their attributes (org_information1..20) with dynamic LOVs and segment labels
- Supports creation/update of the Cost Allocation Key Flexfield segments against the HR Organization Classification (ORGANIZATION qualified segments only)
Constraints:
- Organizations can only be created/updated within the Business Group associated with the current responsibility
- Business Group creation is not supported - use the Define Organizations form
- The following organization information types cannot be updated via the API once created: Business Group Information, Canada Employer Identification. These can be created but not subsequently modified by this upload
- Only supports the creation and update of the single-row DFF and multi-row DFF information types. 
- Organization information segments that reference self-referencing data may require a two-step upload: first create the info type, then update the self-referencing attribute in a second pass</t>
  </si>
  <si>
    <t>PER Organization Upload</t>
  </si>
  <si>
    <t>PER Payroll Element Entry Upload
==================
Use this upload to upload new or update existing PER Payroll Element Entries, or to enter adjustment entries.</t>
  </si>
  <si>
    <t>PER Payroll Element Entry Upload</t>
  </si>
  <si>
    <t>Upload to create and update Person Extra Information Types (EITs) within Oracle HRMS - the People form &gt; Others &gt; Extra Information &gt; Extra Person Information window.
Scope:
- Generic upload covering all person extra information types. The Information Type parameter/column lists every enabled context of the Extra Person Info DDF flexfield (titled Extra Person Information), which holds the registered EIT types.
- The segment values are loaded as raw Information 1..30 columns (pei_information1..30), matching the order of the information type's flexfield segments.
- Create new person extra information records and update existing ones (auto-detected by the hidden Person Extra Information ID downloaded in Create, Update mode).
Notes:
- A person can hold multiple records of the same information type (e.g. one per year), so existing rows are matched by the hidden Person Extra Information ID, not by person and type.
- The information type must be eligible for the person; ineligible types are rejected by the API.
- For information type segments validated against a value set, enter the stored value the segment expects.</t>
  </si>
  <si>
    <t>PER Person Extra Information Upload</t>
  </si>
  <si>
    <t>Property Manager</t>
  </si>
  <si>
    <t>Property Management - Billing and Payment Terms Upload</t>
  </si>
  <si>
    <t>PN Billing/Payment Term Upload</t>
  </si>
  <si>
    <t>Property Management - Schedule Approval Status Upload
This upload allows users to Approve (Approved status), Un-Approve (Draft status), or place On Hold Payment and Billing Schedules in Property Management. This upload offers the same functionality as the Oracle Authorize Payments and the Authorize Billings forms.
Upload Mode
=================
When run in “Create, Update” mode, the Payment/Billing Schedules matching the criteria specified in the report parameters will be downloaded into Excel where the user can review and amend the Payment/Billing Approval Status and, for approved schedules, the Approver and the Period.
When run in “Create” mode, an empty excel will be generated. This mode allows the user to paste Payment/Billing schedule data from another source. In this mode the upload will find the matching Payment/Billing Schedule based on the data in each excel row and apply the approval change. The upload will return an error message if the upload cannot find a matching schedule, or if it finds multiple matching schedules.
Approved Schedules
=================
- if the Approver is not specified in the upload excel, then the username of the user executing the upload is used.
- if the Period is not specified in the upload excel, then this will be derived during the upload based on the Schedule Date
Notes
=================
You cannot create new Payment/Billing schedules using this upload. It can only be used for updating the approval status of existing Payment/Billing Schedules.
</t>
  </si>
  <si>
    <t>PN Schedule Approval Status Upload</t>
  </si>
  <si>
    <t>Purchasing</t>
  </si>
  <si>
    <t>This upload allows users to create new PO Acceptances (Acknowledgments)</t>
  </si>
  <si>
    <t>PO Acceptance Upload</t>
  </si>
  <si>
    <t>This upload supports the creation and update of Approved Supplier Lists (ASL) in Oracle Purchasing.
The upload supports creation/update/deletion of the following Approved Supplier List entities:
- Approved Supplier Lists (Global and Local)
- Approved Supplier List Attributes. Including Local (Using Organization specific) attributes against a global ASL.
- Source Documents
- Authorizations
- Supplier Capacities
- Supplier Tolerances
Notes:
- You cannot delete Manufacturer ASLs using this upload. There is a restriction in the standard Oracle API used by this upload that prevents this.
- When the ASL attributes for the same Item/Commodity, Supplier, Supplier Site, and Using Organization are repeated in the upload excel, then first row flagged for upload will be used to apply the attribute updates. The attributes on subsequent rows are ignored. 
- The following points are only significant if you define Local Attributes for a Using Organization against a Global ASL:
  Source Documents are associated with the Using Organization of the ASL Attributes 
  Authorizations, Supplier Capacities and Supplier Tolerances are always associated with the Using Organization of the ASL
  If you delete a Local ASL defined for a specific using organization against a Global ASL, only the local using organization attributes will be deleted.
  The Global ASL will not be deleted. 
- When downloading existing ASL data into the upload excel, Source Documents, Authorizations, Capacities, and Tolerances are downloaded into separate rows in the excel.
This is to minimize the duplication of data in the excel. However, when entering data for upload Source Documents, Authorizations, Capacities, and Tolerances can be added in the same excel row.
i.e. You can upload an excel row containing a Source Document, Authorization, Capacity, and Tolerance.
- Capacity Entries with a capacity from/to date in the past cannot be updated by this upload due to validations applied in the standard Oracle API used by the upload. It is possible to delete a capacity entry with a capacity from date in the past, but only if the capacity to date is either null or later than the current date.
- By default, Authorizations, Supplier Capacities, and Supplier Tolerances are not included in the downloaded data. The following report parameters may be Yes in order to include these in the download:
  Download Authorizations
  Download Capacities
  Download Tolerances</t>
  </si>
  <si>
    <t>PO Approved Supplier List Upload</t>
  </si>
  <si>
    <t>Upload to create and update purchase documents</t>
  </si>
  <si>
    <t>PO Purchasing Document Upload</t>
  </si>
  <si>
    <t>PO Receiving Transaction Upload
================================
Create receiving transactions (receipts) against approved standard purchase orders.
Upload Modes
============
Create
------
Opens an empty spreadsheet where the user can manually enter PO receiving details.
Create, Update
--------------
Downloads open PO shipment lines with quantities available to receive for the selected organization.
The user fills in the Quantity and Transaction Date columns for each line to receive, then uploads.
Prerequisites
=============
- PO must be approved and not cancelled or closed.
- PO shipment must have remaining quantity to receive.
- Transaction date must be in an open inventory receiving period.
Fields
======
- Organization Code: Required. The receiving inventory organization.
- PO Number: Required. The purchase order number.
- Line Num: Required. The PO line number.
- Shipment Num: Required. The PO shipment number.
- Item Revision: Optional. Item revision (defaults from PO line, override for revision-controlled items).
- Quantity: Required. The quantity to receive (must be greater than zero).
- Transaction Date: Required. The date of the receipt.
- Destination Type: Optional. Inventory, Expense, or Shop Floor (defaults from PO distribution).
- Subinventory: Optional. Destination subinventory (defaults from PO distribution).
- Locator: Optional. Stock locator within the subinventory (required for locator-controlled subinventories).
- Deliver To Location: Optional. Override the deliver-to location.
- Country of Origin: Optional. Country of origin for trade compliance.
- Vendor Lot Num: Optional. Supplier lot number for lot tracking.
- Comments: Optional. Receipt comments.</t>
  </si>
  <si>
    <t>PO Receiving Transaction Upload</t>
  </si>
  <si>
    <t>PO Requisition Template Upload
================================
The purpose of the PO Requisition Template Upload is to allow for: 
- the creation of new Requisition Templates (Create Mode).
- the update of existing Requisition Templates (Update Mode). Update includes the update to existing template and template lines, the creation of new template lines against an existing template, and the deletion of template lines from an existing template.
As far as feasible, the upload provides the user with the same functionality available in the ‘Requisition Template’ Form. (Purchasing:  + Setup – Purchasing – Requisition Templates)
Upload Mode
============
The upload mode determines the actions the user is allowed to perform in the upload.
Create - the user may upload new Requisition Templates only.
Update - the user may update existing Requisition Templates only. This includes adding new and deleting existing template lines from the template.
Create and Update - the user can create new Requisition Templates and update existing Requisition Templates.
Parameters
==========
Upload Mode	(Required=Yes Default=Create) - See above.
The following optional parameters are only applicable in the 'Create and Update' and 'Update' modes, and can be used to restrict the template data downloaded for update:
- Operating Unit - the operating unit(s) the templates belong to.
- Template Type - the template type (Purchase Requisition, Internal Requisition).
- Template Name - the template name(s) to be downloaded.
- Template Name Contains - the user can restrict the download of existing templates where the Template Name contains the specified text (case insensitive).
</t>
  </si>
  <si>
    <t>PO Requisition Template Upload</t>
  </si>
  <si>
    <t>Upload to create and update requisitions.
In the generated Excel, the user can amend the following columns for an existing requisition.
-	Header Description
-	Quantity
-	Unit Price
-	Need By Date
-	Reference Number
-	Supplier Item
-	Buyer
-	Note To Buyer
-	Currency
-	Conversion Type
-	Conversion Rate
-	Conversion Date
Additionally, the user can create a requisition by entering the below required fields.
-	Line Type
-        Source Type
-        Item
-	Item Description
-	Category
-	Unit of Measure
-	Quantity
-	Need By Date
-	Destination Type
-	Deliver To Requestor
-	Destination Organization
-	Deliver To Location</t>
  </si>
  <si>
    <t>PO Requisition Upload</t>
  </si>
  <si>
    <t>Quality</t>
  </si>
  <si>
    <t>Upload to create, update, or delete Quality Collection Elements (QA_CHARS).
This upload manages user-defined collection elements including:
- Element name, type, datatype, prompt, display length
- Mandatory/Enabled flags
- UOM, default value, data entry hint, SQL validation string
- Sequence configuration (for Sequence datatype elements)
Note: Specification limits, values, and actions are not managed by this upload.
Datatype cannot be changed after initial creation.</t>
  </si>
  <si>
    <t>QA Collection Element Upload</t>
  </si>
  <si>
    <t>Upload to create, update, or delete Quality Collection Plans and all child entities.
This upload manages:
- Collection Plan headers (name, type, dates, multirow flag)
- Plan Transactions (transaction assignments, mandatory/background flags)
- Collection Triggers (trigger conditions per transaction)
- Plan Elements (collection element assignments, prompts, flags)
- Element Values (value lookups per element)
- Action Triggers (trigger sequences and conditions per element)
- Actions (action assignments per trigger, including assign type, assigned element, alert action set and action, status code)
- Action Outputs (output variable mappings per action)
Multiple actions of the same action type can coexist under one action trigger (e.g. two Assign value actions with different formulas, or two Send email actions with different alert sets). Actions are identified by the natural key (action trigger, action name, assign type, assigned element, alert action set, alert action, status code, action message); changing any of these fields creates a new action rather than updating an existing one. Use Delete=Yes to remove an obsolete action.
CAR (Corrective Action Request) actions are not yet supported.
Upload Modes
============
Create
------
Opens an empty spreadsheet for entering new Collection Plans and child entities.
Create, Update
--------------
Downloads existing Collection Plans matching filters for review and update.
New rows can be added to create additional plans in the same upload.
Row Types
=========
The upload uses a hierarchical structure with 8 row types:
1. Plan Header
2. Transaction
3. Collection Trigger
4. Element
5. Element Value
6. Action Trigger
7. Action
8. Action Output
Each child row inherits its parent context from the plan_name column.</t>
  </si>
  <si>
    <t>QA Collection Plan Upload</t>
  </si>
  <si>
    <t>Upload to create, update, or delete Quality Collection Plan parent-child relationships using the standard Oracle API qa_ss_parent_child_pkg.
This upload manages:
- Parent-Child Plan Relationships (QA_PC_PLAN_RELATIONSHIP)
- Element Relationships between parent and child plans (QA_PC_ELEMENT_RELATIONSHIP)
- Criteria for automatic child record creation (QA_PC_CRITERIA)
Entry Modes:
- Immediate: Child data entered immediately after parent record
- Delayed: Child records entered manually later
- Automatic: Child records auto-created when parent matches criteria
- History: Child records auto-created when changes made to parent</t>
  </si>
  <si>
    <t>QA Plan Relationship Upload</t>
  </si>
  <si>
    <t>Advanced Pricing</t>
  </si>
  <si>
    <t>This upload supports the creation and update of GSA Pricing Setup in Oracle Advanced Pricing.
The upload supports creation/update/deletion of the following entities within a GSA Pricing List:
- GSA Lists (created as a Modifier List)
- GSA List Qualifiers (created as a Modifier List Qualifier)
- GSA List Lines (created as Modifier Lines)
Notes:
When downloading existing GSA Lists into the upload excel; the List level Qualifiers and the List Lines will be downloaded into separate rows in the excel. This is to minimize the duplication of data in the excel.  
However:
When entering List Header qualifiers, these can be added in the same excel row as the List Lines (i.e. You can upload an excel row containing list line details and a list header qualifier). 
Modifier Line Numbering
====================
The Modifier Numbering report parameter determines if you want the system to automatically generate Modifier Numbers when creating new GSA List Lines or if the line number specified in the Line No column in the upload should be retained. If Automatic is specified, any Line Numbers specified in the upload excel for new GSA List Lines will be replaced by a system generated line number on upload.
The Line No column is required when entering list line details. The upload uses the combination of List Number, List Version, and Line No to identify the GSA List Line. If the combination already exists in Oracle the upload will update the existing GSA List Line, otherwise it will create a new GSA List Line.
</t>
  </si>
  <si>
    <t>QP GSA Pricing Upload</t>
  </si>
  <si>
    <t>This upload supports the creation and update of Modifiers in Oracle Advanced Pricing.
The upload supports creation/update/deletion of the following entities within a Modifier List:
- Modifier List Qualifiers
- Modifier List Limits
- Modifier Lines
- Modifier Line Price Breaks. To enter the Modifier Price Breaks in the upload, repeat the Modifier Price Break Header Line and enter/adjust the Price Break Columns for each Price Break.
- Modifier Line Additional Buy Items.
- Modifier Line Get Items
- Modifier Line Pricing Attributes
- Modifier Line Qualifiers
- Modifier Line Limits
Notes:
When downloading existing Modifier data into the upload excel:
  - Modifier List level Qualifiers and Limits will be downloaded into separate rows in the excel
  - Modifier Line level Price Breaks, Additional Buy Items, Get Items, Pricing Attributes, Qualifiers, and Limits will be downloaded into separate rows in the excel
This is to minimize the duplication of data in the excel.  
However:
When entering List Header qualifiers and limits, these can be added in the same excel row.
When entering Modifier Lines for upload:  Price Breaks, Additional Buy Items, Get Items, Pricing Attributes, Line Qualifiers, and Limits can be added in the same excel row. 
i.e. You can upload an excel row containing a modifier line details with associated price break and pricing attribute and qualifier etc. 
Modifier Line Numbering
====================
The Modifier Numbering parameter determines if you want the system to automatically generate Modifier Numbers when creating new Modifiers or if the line number specified in the Line No column in the upload should be retained. If Automatic is specified, any Line Numbers specified in the upload excel for new modifier lines will be replaced by a system generated line number on upload.
The Line No column is required when entering modifier line details. The upload uses the combination of List Number, List Version, and Modifier Line No to identify the modifiers. If the combination already exists in Oracle the upload will update the existing modifier, otherwise it will create a new modifier.
Entering Qualifiers
===============
Qualifiers entered on a row with no modifier line details will be uploaded as a list level qualifier. 
Qualifiers entered on a row containing modifier line details will by default be uploaded as a modifier level qualifier. The Qualifier Assignment Level column can be used to override this default behaviour to assign the qualifier to the list header instead of the modifier. 
Qualifier Groups can be copied to the modifier by selecting the Qualifier Group and leaving all other qualifier columns blank. The upload will copy and attach all the qualifier group's qualifiers to the price list.
Alternatively, you can select specific qualifiers from a Qualifier Group by selecting the Qualifier Group and the Qualifier Group Qualifier ID. The upload excel will then default in the details of that qualifier into the excel. In this scenario you would enter each qualifier on a separate row in the excel. 
Entering Limits
===============
Limits entered on a row with no modifier line details will be uploaded as a list level limit. 
Limits entered on a row containing modifier line details will by default be uploaded as a line level limit. The Limit Assignment Level column can be used to override this default behaviour to assign the limit to the list header instead of the modifier Line. 
Limit No is required when entering limit details. The upload uses the combination of List Number, List Version, Modifier Line No (for modifier level limits), and the Limit No to identify the limit. If the combination already exists in Oracle the upload will update the existing limit, otherwise it will create a new modifier.
</t>
  </si>
  <si>
    <t>QP Modifier Upload</t>
  </si>
  <si>
    <t>This upload supports the creation and update of Standard Price Lists in Oracle Advanced Pricing.
The upload supports creation/update/deletion of the following entities within the Price List:
- Price List Lines
'End Date Matching List Lines?'
When creating new Price List Lines, the upload can automatically end date any existing matching active price list line by setting the report parameter 'End Date Matching List Lines?' to Yes. 
Set this parameter to Yes to automatically end date any active matching price list line on upload. 
Any price list lines downloaded when this parameter is set to yes will have the Action field automatically set to ’Create’ to indicate a new Price List Line should be created instead off the existing price list line being updated. This allows the user to use the downloaded (current) price list lines as a basis for creating the new price list lines.  
- Price Breaks
To enter the Price Breaks in the upload, repeat the Price Break Header Line and enter/adjust the Price Break Columns for each Price Break.
- Price List Line Pricing Attributes
By default, the upload will treat all rows with the same Product, Unit of Measure, and Start Date as the same Price List Line.
If you have different Price List Lines that use the same Product, Unit of Measure and Start Date but which have different Pricing Attribute assignments, the use the ‘Line No’ column to distinguish the different Price List Lines. If not specified, then all rows with the same Product, Unit of Measure, and Start Date will be uploaded as a single Price List Line and any Pricing Attributes will be added to that Price List Line. 
The Line Number entered here is not uploaded to Oracle. It is only used by the upload to distinguish different lines with the same product, Unit of Measure, and Start date.
- Price Lists Qualifiers
Qualifier Groups can be copied to the Price List by selecting the Qualifier Group and leaving all other qualifier columns blank. The upload will copy and attach all the qualifier group's qualifiers to the price list.
Alternatively, you can select specific qualifiers from a Qualifier Group by selecting the Qualifier Group and the Qualifier Group Qualifier ID. The upload excel will then default in the details of that qualifier into the excel. In this scenario you would enter each qualifier on  a separate row in the excel. 
- Secondary Price Lists
Note:
When downloading existing Price List data into the upload excel:
  - Header level Qualifiers and Secondary Price Lists will be downloaded into separate rows in the excel
  - Line level Price Breaks and Pricing Attributes will be downloaded into separate rows in the excel
This is to minimize the duplication of data in the excel. However, when entering data for upload Qualifiers, Secondary Price Lists, Price Breaks, and Pricing Attributes can be added in the same excel row.
i.e. You can upload an excel row containing a header level qualifier, header level secondary price list, price list line details with associated price break and pricing attribute. 
</t>
  </si>
  <si>
    <t>QP Price List Upload</t>
  </si>
  <si>
    <t>This upload supports the creation and update of Qualifier Groups in Oracle Advanced Pricing.
</t>
  </si>
  <si>
    <t>QP Qualifier Group Upload</t>
  </si>
  <si>
    <t>Work in Process</t>
  </si>
  <si>
    <t>Upload to create and update WIP Discrete Jobs (Standard and Non-Standard) including operations, resources, and material requirements (components). Multiple inventory organizations can be combined in one upload file; the upload submits a separate WIP Mass Load run per organization.
Job headers support all standard fields including assembly, class code, status, quantities, dates, scheduling, BOM/routing references (non-standard jobs), completion subinventory/locator, schedule group, line, project/task, and descriptive flexfield attributes.
Operations, resources, and material requirements (components) can be added on new and existing jobs and modified on existing jobs. A single upload row can carry header, operation/resource, and component fields simultaneously, so compact entry does not require separate row types.
Explode Bom and Routing. By default, Bom and Routing are automatically exploded only for new jobs (create) where the job does not have detail entries (operations/resources/components) included in the upload. This is to preserve the manually entered details on upload. If uploading Job Details for a new job, then all the detail entries for the Job should be included in the upload. The Bom and Routing are not automatically re-exploded when updating an existing job. There is a hidden ‘Explode Bom and Routing’ column in the upload that can be used to override this default behaviour.
Scheduled Start and Completion Dates. For jobs with a routing (the assembly’s own routing for Standard jobs, or a Routing Reference for Non-Standard jobs), supply one of Scheduled Start Date or Scheduled Completion Date — providing the start forward-schedules, providing the completion backward-schedules. The system computes the other end from the routing lead times. If both are supplied, forward-scheduling from the start is used. For jobs without a routing, both dates are required and are stored verbatim. The same rules apply on update: changing only the start triggers a forward reschedule, changing only the completion triggers a backward reschedule.
Job creation supports both automatic job name generation (via the WIP Job Prefix profile and sequence) and manual job naming. The Upload Job Identifier column uniquely identifies a job in the upload and provides traceability between uploaded rows and the eventual job name when automatic naming is used. It must be unique per logical job within a single upload. For manual job naming, the Upload Job Identifier will also be used as the Job Name if a Job Name is not specifically entered in the upload.
Non-standard jobs without an assembly or routing reference cannot be updated through WIP Mass Load; such jobs must be edited in the Discrete Jobs form directly. The upload reports a clear error if attempted.
Processing uses the WIP Mass Load interface (wip_job_schedule_interface and wip_job_dtls_interface) with the WICMLP concurrent program. Validation errors are detected per job and cascaded to all rows of the affected job so the job is either processed in its entirety or not at all.
</t>
  </si>
  <si>
    <t>WIP Job Upload</t>
  </si>
  <si>
    <t>Report</t>
  </si>
  <si>
    <t>Applications DBA</t>
  </si>
  <si>
    <t>AD applied patches, patch runs, included bugs, filenames and actions</t>
  </si>
  <si>
    <t>AD Applied Patches</t>
  </si>
  <si>
    <t>Check if a specific patch is applied in 12.2</t>
  </si>
  <si>
    <t>AD Applied Patches R12.2</t>
  </si>
  <si>
    <t>Alert</t>
  </si>
  <si>
    <t>ALR Alerts</t>
  </si>
  <si>
    <t>1099 Payments report showing payments made to 1099 reportable suppliers.
This is the Blitz Report equivalent of the Oracle standard 1099 Payments Report (APXTRRVT).
The report lists suppliers from the 1099 tape data (vendors processed for 1099 reporting) along with their payment totals within the specified date range.
Key features:
- Uses ap_1099_tape_data to filter vendors processed for 1099 reporting
- Validates against Tax Reporting Entity and balancing segments
- Calculates payment amounts using Oracle AP_UTILITIES_PKG.Net_Invoice_Amount
- Determines tax reporting site (site with tax_reporting_site_flag=Y or first alphabetical site)
- Handles void checks by excluding payments voided within the date range
- Supports Summary (totals by supplier/type) and Detail (individual checks/invoices) modes
- MISC4 (Backup Withholding) amounts tracked separately as Withheld Amount
- Distribution Total shows gross amounts before withholding adjustments
- Payment Amount shows net reportable amounts (with MISC4 as negative)
- Query Driver parameter controls balancing segment matching (INV=invoice distribution, PAY=bank cash account)
- Employee vendors use national_identifier from per_all_people_f for tax ID
- Tax ID cleanup removes dashes, spaces, and treats 000000000 as blank</t>
  </si>
  <si>
    <t>AP 1099 Payments</t>
  </si>
  <si>
    <t>Application: Payables
Report: Accounts Payable Accounted Invoice Aging Report
Pre-requisite: XLA_TRIAL_BALANCES should be populated before running this report.
Description.
Report details Aging of outstanding amounts at a specified point in time for Accounted Invoices and relies mainly on the data in XLA_TRIAL_BALANCES table for the accounting information.
XLA_TRIAL_BALANCES data is inserted by the Open Account Balances Data Manager.
The Open Account Balances Data Manager maintains reportable information for all enabled open account balance listing definitions. This program is submitted automatically after a successful transfer to General Ledger for the same ledger or
manually by running the Open Account Balances Data Manager program. When changes are applied to a Open Account Balances Listing Definition, the Open Account Balances Data Manager program is automatically submitted for the changed definition.
For scheduling the report to run periodically, use the 'as of relative period close' offset parameter. This is the relative period offset to the current period, so when the current period changes, the period close as of date will also be automatically updated when the report is re-run.</t>
  </si>
  <si>
    <t>AP Accounted Invoice Aging</t>
  </si>
  <si>
    <t>Detail cash requirement report showing all unpaid or partially paid amounts, where the invoice is neither on hold nor cancelled, including invoice currency amount, exchange rate, and currency code</t>
  </si>
  <si>
    <t>AP Cash Requirement</t>
  </si>
  <si>
    <t>Expense report policy violations showing violation type, allowable amount, exceeded amount and expense line details for each violation. Based on Oracle iExpense policy enforcement.</t>
  </si>
  <si>
    <t>AP Expense Policy Violations</t>
  </si>
  <si>
    <t>Detail AP expense report listing corresponding AP invoices with status, line details, expense type and expense justification. Including projects task related expenses.</t>
  </si>
  <si>
    <t>AP Expenses</t>
  </si>
  <si>
    <t>AP Intercompany Invoice Details
</t>
  </si>
  <si>
    <t>AP Intercompany Invoice Details</t>
  </si>
  <si>
    <t>Imported from Concurrent Program
Application: Payables
Source: Invoice Approval Status
Short Name: APXAPRST</t>
  </si>
  <si>
    <t>AP Invoice Approval Status</t>
  </si>
  <si>
    <t>Imported Oracle standard 'Invoice Audit Listing' report
Application: Payables
Source: Invoice Audit Listing
Short Name: APXINLST</t>
  </si>
  <si>
    <t>AP Invoice Audit Listing</t>
  </si>
  <si>
    <t>Supplier invoice payment details.
There can be multiple payments per invoice and one document/check can be used to pay different payments and invoices. To allow reconciling payment with invoices and checks, invoice and check level amounts are shown on the last payment record only and are blank for multiple/duplicate records.</t>
  </si>
  <si>
    <t>AP Invoice Payments</t>
  </si>
  <si>
    <t>11g-compatible version of AP Invoice Payments.
Supplier invoice payment details.
There can be multiple payments per invoice and one document/check can be used to pay different payments and invoices. To allow reconciling payment with invoices and checks, invoice and check level amounts are shown on the last payment record only and are blank for multiple/duplicate records.</t>
  </si>
  <si>
    <t>AP Invoice Payments 11g</t>
  </si>
  <si>
    <t>Based on Oracle standard Invoice on Hold report
Source: Invoice on Hold Report (XML)
Short Name: APXINROH_XML</t>
  </si>
  <si>
    <t>AP Invoice on Hold</t>
  </si>
  <si>
    <t>Detail Invoice Aging report with line item details and amounts
Parameter explanation:
- Invoice on Hold (LOV: Yes/No)
  Default Value = Null (Hold Status not considered as per current behaviour)
  Yes - Only Invoices that currently have an unreleased hold will be retrieved
  No - Only Invoices that do not currently have an unreleased hold will be retrieved
- Hold Name (LOV: AP Hold Names)
  Default Value Null
  If specified - only Invoices that currently have an unreleased hold of the specified name will be retrieved
Hold column explanation:
- Holds  - a list of the current unreleased holds against the invoice
- Hold Dates - the Hold Date
- Holds Held By - the name of user who applied the holds
- Hold PO References - Identifies the matching POs for PO Matching Holds in the format: PO Number(Release number)(Line Number)(Shipment Number)
- Hold Receipt References  - Identifies the matching Receipts for Receipt Matching Holds in the format: Receipt Number(Line Number)</t>
  </si>
  <si>
    <t>AP Invoices and Lines</t>
  </si>
  <si>
    <t>AP Invoices with PO, Intercompany and SLA Details</t>
  </si>
  <si>
    <t>Imported from BI Publisher
Description: Matched and Modified Receipts Report
Application: Payables
Source: Matched and Modified Receipts Report (XML) - Not Supported: Reserved For Future Use
Short Name: APXMTMRR_XML
DB package: AP_APXMTMRR_XMLP_PKG</t>
  </si>
  <si>
    <t>AP Matched and Modified Receipts</t>
  </si>
  <si>
    <t>Application: Payables
Source: Accounts Payable Negative Supplier Balance
Short Name: APXNVBAL
DB package: XLA_TB_AP_REPORT_PVT</t>
  </si>
  <si>
    <t>AP Negative Supplier Balance</t>
  </si>
  <si>
    <t>Description: AP Open Balances Revaluation Report
This report is in the same format as the AP Open Balances Revaluation Report which is no longer supported and should no loinger be used. The data source for this report is the same as the AP Open Items Revaluation report.
Application: Payables
Source: Open Items Revaluation Report (XML)
Short Name: APOPITRN
DB package: AP_OPEN_ITEMS_REVAL_PKG</t>
  </si>
  <si>
    <t>AP Open Balances Revaluation</t>
  </si>
  <si>
    <t>Imported from BI Publisher
Description: Open Items Revaluation Report
Application: Payables
Source: Open Items Revaluation Report (XML)
Short Name: APOPITRN
DB package: AP_OPEN_ITEMS_REVAL_PKG</t>
  </si>
  <si>
    <t>AP Open Items Revaluation</t>
  </si>
  <si>
    <t>Based on Oracle standard Period Close Exceptions Report
Source: Period Close Exceptions Report (XML)
Short Name: APXPCER
DB package: ap_period_close_pkg</t>
  </si>
  <si>
    <t>AP Period Close Exceptions</t>
  </si>
  <si>
    <t>Application: Payables
Description: Payables Posted Invoice Register
This report provides equivalent functionality to the Oracle standard Payables Posted Invoice Register report.
For scheduling the report to run periodically, use the relative period from/to offset parameters. These are the relative period offsets to the current period, so when the current period changes, the included periods will also automatically be updated when the report is re-run.
Templates
- Pivot: Summary by Account, Invoice Currency
  Equivalent to standard report in Summarize Report = Yes Mode 
- Pivot: Summary by Account, Batch, Invoice Currency
  Equivalent to standard report in Summarize=No Order By=Journal Entry Batch
- Pivot: Summary by Account, Invoice Currency, Batch
  Equivalent to standard report in Summarize=No Order By=Entered Currency
- Detail
  Provides detail listing of the posted invoices
Additional data fields are available. Run the report without a template to see full list available fields
Source: Payables Posted Invoice Register
Short Name: APXPOINV
DB package: XLA_JELINES_RPT_PKG
Also requires custom package XXEN_XLA package to be installed to initialize the hidden parameters removed from the report to simplify scheduling of the report.</t>
  </si>
  <si>
    <t>AP Posted Invoice Register</t>
  </si>
  <si>
    <t>Application: Payables
Description: Payables Posted Payment Register
This report provides equivalent functionality to the Oracle standard Payables Posted Payment Register report.
For scheduling the report to run periodically, use the relative period from/to offset parameters. These are the relative period offsets to the current period, so when the current period changes, the included periods will also automatically be updated when the report is re-run.
Templates
- Pivot: Summary by Account
  Equivalent to standard report in Summarize Report = Yes Mode 
- Pivot: Summary by Account, Bank Account, Batch, Payment Currency, Payment Document
  Equivalent to standard report in Summarize=No Order By=Bank Account
- Pivot: Summary by Account, Batch, Bank Account, Payment Currency, Payment Document
  Equivalent to standard report in Summarize=No Order By=Journal Entry Batch
- Detail
  Provides detail listing of the posted payments
Additional data fields are available. Run the report without a template to see full list available fields
Source: Payables Posted Payment Register
Short Name: APXPOPMT
DB package: XLA_JELINES_RPT_PKG
Also requires custom package XXEN_XLA package to be installed to initialize the hidden parameters removed from the report to simplify scheduling of the report.</t>
  </si>
  <si>
    <t>AP Posted Payment Register</t>
  </si>
  <si>
    <t>Application: Payables
Source: Supplier Statement
Short Name: APTPSTMT
DB package: AP_TP_STMT_PKG</t>
  </si>
  <si>
    <t>AP Supplier Statement</t>
  </si>
  <si>
    <t>AP suppliers (po vendors) including supplier sites, contact and bank account information on vendor and site level</t>
  </si>
  <si>
    <t>AP Suppliers</t>
  </si>
  <si>
    <t>AP suppliers (po vendors) revenue summary across different operating units</t>
  </si>
  <si>
    <t>AP Suppliers Revenue Summary</t>
  </si>
  <si>
    <t>Application: Payables
Source: Accounts Payable Trial Balance
Short Name: APTBRPT
DB package: XLA_TB_AP_REPORT_PVT
For scheduling the report to run periodically, use the 'as of relative period close' offset parameter. This is the relative period offset to the current period, so when the current period changes, the period close as of date will also be automatically updated when the report is re-run.
Requires custom package XXEN_XLA package to be installed to initialize the hidden parameters removed from the report to simplify scheduling of the report.</t>
  </si>
  <si>
    <t>AP Trial Balance</t>
  </si>
  <si>
    <t>Accounts Payable Trial Balance Report Definitions</t>
  </si>
  <si>
    <t>AP Trial Balance Report Definitions</t>
  </si>
  <si>
    <t>Application: Receivables
Source: Adjustment Register
Short Name: ARRXARPB
The report has now been enhanced to allow multiple accessible Ledgers or Operating Units to be selected in the Reporting Context parameter. Additionally, the Reporting Context parameter has been made optional. Leaving it null will allow the report to be run across all accessible Ledgers or Operating Units.</t>
  </si>
  <si>
    <t>AR Adjustment Register</t>
  </si>
  <si>
    <t>The AR Aging report allows users to review information about their open receivables items at a specified point in time (the As of Date). The report will show the aging of the open receivables items based on the selected aging bucket.
- The report includes detailed (Transaction Level) or summary (Customer Level) information about customers current and past due invoices, debit memos, and chargebacks.
- Optionally the report can include details of credit memos, on-account credits, unidentified payments, on-account and unapplied cash amounts, and receipts at risk.
- Optionally the report allows the open receivables items to be revalued to a different currency on a specified revaluation date using a specified revaluation currency rate type.
- All amounts in the report are shown in functional currency, except where the report is run for a specified entered currency, in which case the amounts are shown in the specified entered currency.
Report Parameters:
Reporting Level: The report can be run by Ledger or by Operating Unit. 
Reporting Context: The Ledgers or Operating Units the report is to be run for. Only Ledgers or Operating Units accessible to the current responsibility maybe selected. The report supports the multiple selection of Ledgers or Operating Units allowing to be run for more than one Ledger or Operating Unit. If the Reporting Context is left null, then the report will be run for all Operating Units accessible to the current responsibility. 
Report Summary: The report is summarized at either the Customer Level (Customer Summary) or at Transaction Level (Invoice Summary). The Customer Summary report includes open receivables totals at the customer level only and does not include transaction level details. The Invoice Summary report includes details and the outstanding amounts of the open receivables transactions.
As of Date: The report can be run to provide an aging snapshot at a specified point in time in the past. By default, the As of Date will be the current date. 
Aging Bucket Name:  The Aging Bucket Name determine the Aging Buckets to be used for aging the open receivables items. The aging amount columns in the report are dynamically determined based on the selected Aging Buket. 
Aging Basis: Transactions can be aged based on their Due Date (default) or on their Transaction (Invoice) Date.
Show On Account: The report can optionally include the details and/or amounts for credit memos, on-account credits, unidentified payments, on-account and unapplied cash amounts.
The options for displaying these are:
Do Not Show – they are not included in the report.
Summarize – the amounts are shown as separate columns in the report and are not included in the Aging Amount report columns.
Age – the amounts are included in the Aging Amount report columns.
Show Receipts At Risk: The report can optionally include the details and/or amounts for receipts at risk.
Do Not Show – they are not included in the report.
Summarize – the amounts are shown as separate a column in the report and are not included in the Aging Amount report columns.
Age – the amounts are included in the Aging Amount report columns.
Entered Currency: Restrict the report to open receivables items entered in the specified currency. By default, all amounts in the report are shown in functional currency, except in the case the report is run in for a specified Entered Currency. In this case the amounts are shown in the specified entered currency. 
Revaluation Date, Revaluation Currency, Revaluation Rate Type: 
If a revaluation date, currency, and rate type are specified, the report will include additional columns showing the open receivables amounts and aging in the specified revaluation currency.
Additionally, there are several additional parameters which can be used to restrict the data returned by the report.
Show SLA Accounting: Set to Yes to fetch SLA receivable accounting details for each transaction.</t>
  </si>
  <si>
    <t>AR Aging</t>
  </si>
  <si>
    <t>AR Aging Buckets and Interest Tiers Setup</t>
  </si>
  <si>
    <t>Application: Receivables
Description: Receivables Applied Receipts Register
Provided Templates:
Default: Detail - Detail Listing with no Pivot Summarization
Pivot: Summary by Apply Date - Summary by Balancing Segment, Receipt Currency, Apply Date
Pivot: Summary by Batch - Summary by Balancing Segment, Receipt Currency, Batch
Pivot: Summary by Customer Name - Summary by Balancing Segment, Receipt Currency, Customer with drilldown to details
Pivot: Summary by Debit Account - Summary by Balancing Segment, Account Segment, Debit Account, Receipt Currency
Pivot: Summary by GL Date - Summary by Balancing Segment, Receipt Currency, GL Date
Source: Applied Receipts Register
Short Name: RXARARRG</t>
  </si>
  <si>
    <t>AR Applied Receipts</t>
  </si>
  <si>
    <t>Summary of records in the autoinvoice interface, sorted by operating unit, and including order count, total orders value and currency code.</t>
  </si>
  <si>
    <t>AR Autoinvoice Interface Summary</t>
  </si>
  <si>
    <t>Master data report for customer setup audit of credit amount limits and GL accounts for customer credit management and dunning notices.</t>
  </si>
  <si>
    <t>AR Customer Credit Limits</t>
  </si>
  <si>
    <t>Application: Receivables
Source: Customer Credit Snapshot (XML)
Short Name: ARXCCS_XML
DB package: AR_ARXCCS_XMLP_PKG</t>
  </si>
  <si>
    <t>AR Customer Credit Snapshot</t>
  </si>
  <si>
    <t>Report: AR Customer Open Balances Period Lookback
Application: Receivables
Description:
Customer Open Balances summary showing
- Open Balances as of the specified 'As of Date' and as of &lt;n&gt; periods prior to the 'As of Date' period.
- Maximum Open Balance in the prior &lt;n&gt; periods prior to the 'As of Date' period
All balances are show in the functional currency.
Parameters:
As of Date - the report will be run as of this date. Defaults to the current system date.
Look Back &lt;n&gt; periods - number of periods prior to the 'As of Date' period to show
Max Open over last &lt;n&gt; Periods - number of periods prior to the 'As of Date' period to consider in the Maximum Open Balance amount calculation
</t>
  </si>
  <si>
    <t>AR Customer Open Balances Period Lookback</t>
  </si>
  <si>
    <t>Customer account and site level profile details such as profile class, payment terms, statement, dunning, collector and credit settings, including the profile amount limits per currency.
Application: Receivables
Source: Customer Profiles Report (XML)
Short Name: ARXCCP_XML
DB package: AR_ARXCCP_XMLP_PKG</t>
  </si>
  <si>
    <t>AR Customer Profiles</t>
  </si>
  <si>
    <t>Application: Receivables
Source: Customer Statement
Short Name: ARSTMTRPT
DB package: AR_TP_STMT_PKG</t>
  </si>
  <si>
    <t>AR Customer Statement</t>
  </si>
  <si>
    <t>Master data report of customer master data including address, sites, site uses, payment terms, Salesperson, price list and other profile information.</t>
  </si>
  <si>
    <t>AR Customers and Sites</t>
  </si>
  <si>
    <t>Imported Oracle standard disputed invoice report
Source: Disputed Invoice Report (XML)
Short Name: ARXDIR_XML
DB package: AR_ARXDIR_XMLP_PKG</t>
  </si>
  <si>
    <t>AR Disputed Invoice</t>
  </si>
  <si>
    <t>Summary report listing sales by country and currency code, with transaction amount / currency and accounted amount/ currency</t>
  </si>
  <si>
    <t>AR European Sales Listing</t>
  </si>
  <si>
    <t>Detail incomplete transaction report</t>
  </si>
  <si>
    <t>AR Incomplete Transactions</t>
  </si>
  <si>
    <t>Receivables Miscellaneous Receipts
Imported from Concurrent Program
Application: Receivables
Source: Miscellaneous Receipts Register
Short Name: ARRXMTRG</t>
  </si>
  <si>
    <t>AR Miscellaneous Receipts</t>
  </si>
  <si>
    <t>Report: AR Open Balances Revaluation Report
Application: Receivables
Source: AR Open Balances Revaluation Report
Short Name: AROBRR
</t>
  </si>
  <si>
    <t>AR Open Balances Revaluation</t>
  </si>
  <si>
    <t>Imported from BI Publisher
Description: Open Items Revaluation Report
Application: Receivables
Source: Open Items Revaluation Report (XML)
Short Name: ARXINREV_XML
DB package: AR_ARXINREV_XMLP_PKG
</t>
  </si>
  <si>
    <t>AR Open Items Revaluation</t>
  </si>
  <si>
    <t>Detail past due AR invoice report with invoice number, days past due, amount past due and currency code</t>
  </si>
  <si>
    <t>AR Past Due Invoice</t>
  </si>
  <si>
    <t>Master data report showing the payment terms codes with their respective profile options.</t>
  </si>
  <si>
    <t>AR Payment Terms</t>
  </si>
  <si>
    <t>Application: Receivables
Description: Receivables Receipt Register
Provided Templates:
Default: Detail - Detail Listing with no Pivot Summarization
Pivot: Summary by Receipt Date - Summary by Balancing Segment, Receipt Currency, Receipt Date
Pivot: Summary by Receipt Status - Summary by Balancing Segment, Receipt Status
Pivot: Summary by Batch - Summary by Balancing Segment, Receipt Currency, Batch
Pivot: Summary by Customer Name - Summary by Balancing Segment, Receipt Currency, Customer
Pivot: Summary by Debit Account - Summary by Balancing Segment, Account Segment, Debit Account, Receipt Currency
Pivot: Summary by GL Date - Summary by Balancing Segment, Receipt Currency, GL Date
Source: Receipt Register
Short Name: ARRXRCRG/RXARRCRG
</t>
  </si>
  <si>
    <t>AR Receipt Register</t>
  </si>
  <si>
    <t>Imported from BI Publisher
Description: Sales Journal By Customer
Application: Receivables
Source: Sales Journal By Customer (XML)
Short Name: RAXGLA_XML
DB package: AR_RAXGLA_XMLP_PKG</t>
  </si>
  <si>
    <t>AR Sales Journal By Customer</t>
  </si>
  <si>
    <t>Application: Receivables
Source: Transaction Register
Short Name: ARRXINVR
The report has now been enhanced to allow multiple accessible Ledgers or Operating Units to be selected in the Reporting Context parameter. Additionally, the Reporting Context parameter has been made optional. Leaving it null will allow the report to be run across all accessible Ledgers or Operating Units.</t>
  </si>
  <si>
    <t>AR Transaction Register</t>
  </si>
  <si>
    <t>Imported from BI Publisher
Description: Print a listing of the Transaction Types
Application: Receivables
Source: Transaction Types Listing (XML)
Short Name: RAXTTL_XML
DB package: AR_RAXTTL_XMLP_PKG</t>
  </si>
  <si>
    <t>AR Transaction Types</t>
  </si>
  <si>
    <t>AR transaction report.
Can be run at Header, Line and/or Distribution Level
Optionally include special columns for service contracts (OKS) and lease contracts (OKL) data</t>
  </si>
  <si>
    <t>AR Transactions and Lines</t>
  </si>
  <si>
    <t>Detail AR customer billing history including payments / cash receipts, excluding any entered or incomplete transactions.</t>
  </si>
  <si>
    <t>AR Transactions and Payments</t>
  </si>
  <si>
    <t>Imported from BI Publisher
Application: Receivables
Source: Unaccounted Transaction Sweep
Short Name: ARTRXSWP
DB package: ar_unaccounted_trx_sweep</t>
  </si>
  <si>
    <t>AR Unaccounted Transaction Sweep</t>
  </si>
  <si>
    <t>Detail unapplied receipts report with receipt number, date and amount</t>
  </si>
  <si>
    <t>AR Unapplied Receipts Register</t>
  </si>
  <si>
    <t>Imported from Concurrent Program
Application: Receivables
Source: AR to GL Reconciliation Report
Short Name: ARGLRECR
DB package:</t>
  </si>
  <si>
    <t>AR to GL Reconciliation</t>
  </si>
  <si>
    <t>Description: Bill of Material Structure Report
Provides equivalent functionality to the the following standard reports:
- Bill of Material Structure Report
  (Template 'Bill of Material Structure Report' with parameter 'Bills with Loop Errors Only' = No)
- Bill of Material Loop Report
  (Template Bill of Material Structure Report with parameter 'Bills with Loop Errors Only' = Yes)
- Consolidated Bills of Material Report
  (Template 'Consolidated Bill of Material Report')
Application: Bills of Material
Source: Bill of Material Structure Report GUI (XML)
Short Name: BOMRBOMSG_XML
DB package: BOM_BOMRBOMS_XMLP_PKG</t>
  </si>
  <si>
    <t>BOM Bill of Material Structure</t>
  </si>
  <si>
    <t>Master data report showing bill of material exceptions dates, exception types and organization code.</t>
  </si>
  <si>
    <t>BOM Calendar Exceptions</t>
  </si>
  <si>
    <t>Bill of material calendars and calendar dates</t>
  </si>
  <si>
    <t>BOM Calendars</t>
  </si>
  <si>
    <t>Description: Item Where Used GUI Report
Provides equivalent functionality to the the following standard reports:
- Item Where Used Report GUI
Application: Bills of Material
Source: Item Where Used Report GUI (XML)
Short Name: BOMRWUITG_XML
DB package: BOM_BOMRWUIT_XMLP_PKG</t>
  </si>
  <si>
    <t>BOM Item Where Used GUI</t>
  </si>
  <si>
    <t>Master data report showing bill of material routings with item codes and sequences.</t>
  </si>
  <si>
    <t>BOM Routings</t>
  </si>
  <si>
    <t>Generates connection configuration for the Blitz Report Excel Add-in. Open the output file in Excel with the add-in installed to auto-configure the environment.</t>
  </si>
  <si>
    <t>Blitz Report Add-in Environment Setup</t>
  </si>
  <si>
    <t>Oracle application -&gt; Blitz Report assignment via lookup XXEN_REPORT_APPS_CATEGORIES.
This setup controls how automatically imported BI publisher reports and concurrent programs are assigned to Blitz Report categories.</t>
  </si>
  <si>
    <t>Blitz Report Application Categories</t>
  </si>
  <si>
    <t>Lists every Blitz Report with the number of assignments it has at each assignment level, so you can validate that all reports are assigned.
Each level column counts the distinct included assignment targets at that level (Site, Application, Request Group, Responsibility, User, Form, Function, Report). The Excluded column counts exclusion assignments. The zero_to_null function leaves a blank cell where there is no assignment, so reports missing an assignment stand out at a glance - a row that is completely blank across the assignment columns is not assigned to anyone.
Use the Category, Not in Category and Type parameters to limit the scope. Set 'Not Assigned Only' to Yes to list only reports that have no include assignment at any level, or pick a level in 'Not Assigned at Level' to find reports missing an assignment at one specific level.</t>
  </si>
  <si>
    <t>Blitz Report Assignment Validation</t>
  </si>
  <si>
    <t>Blitz Report Assignments</t>
  </si>
  <si>
    <t>Lists all responsibilities, users, and the bitz reports that they can access, presumed they had their Blitz Report Access profile option set to 'User'</t>
  </si>
  <si>
    <t>Blitz Report Assignments and Responsibilities</t>
  </si>
  <si>
    <t>Blitz Report Category Assignments</t>
  </si>
  <si>
    <t>Shows differences in Blitz Report column translations between the local and a remote database server</t>
  </si>
  <si>
    <t>Blitz Report Column Number Fomat Comparison between environments</t>
  </si>
  <si>
    <t>Blitz Report Column Translation Comparison between environments</t>
  </si>
  <si>
    <t>Blitz Report Column Translations</t>
  </si>
  <si>
    <t>Report showing all SQL columns of selected Blitz Reports by parsing their SQL on the fly.
Use the Category or Report Name parameters to scope the results. Running without filters will parse all enabled reports, which may take several minutes.</t>
  </si>
  <si>
    <t>Blitz Report Columns</t>
  </si>
  <si>
    <t>Shows Blitz Report differences between the local and a remote database server.
Requires following view to be created on the remote environment to avoid ORA-64202: remote temporary or abstract LOB locator is encountered
create or replace view xxen_reports_v_ as
select
xrv.*,
dbms_lob.substr(xxen_util.clob_substrb(xrv.sql_text_full,4000,1)) sql_text_short
from
xxen_reports_v xrv;</t>
  </si>
  <si>
    <t>Blitz Report Comparison between environments</t>
  </si>
  <si>
    <t>Blitz Report Default Templates</t>
  </si>
  <si>
    <t>Shows deleted Blitz Reports and can be used to recover accidentally deleted reports.
The history of deleted reports can be purged completely by running concurrent 'Blitz Report Monitor' with parameter 'Purge delete reports SQL history' set to Yes</t>
  </si>
  <si>
    <t>Blitz Report Deletion History</t>
  </si>
  <si>
    <t>Blitz Report Dynamic Column Rules</t>
  </si>
  <si>
    <t>Count and performance summary of historic Blitz Report executions</t>
  </si>
  <si>
    <t>Blitz Report Execution Summary</t>
  </si>
  <si>
    <t>History of Blitz Report executions</t>
  </si>
  <si>
    <t>Blitz Report History</t>
  </si>
  <si>
    <t>Blitz Report History Summary</t>
  </si>
  <si>
    <t>Requires following view to be created on the remote environment to avoid ORA-64202: remote temporary or abstract LOB locator is encountered
create or replace view xxen_report_parameter_lovs_v_ as
select
xrplv.*,
dbms_lob.substr(xxen_util.clob_substrb(xrplv.lov_query,4000,1)) lov_query_short
from
xxen_report_parameter_lovs_v xrplv;</t>
  </si>
  <si>
    <t>Blitz Report LOV Comparison between environments</t>
  </si>
  <si>
    <t>Validates Blitz Report LOV SQLs for valid syntax.
This can be useful after mass migrating reports from other tools such as Discoverer, Excl4apps, splashBI or Polaris Reporting Workbench into Blitz Report.</t>
  </si>
  <si>
    <t>Blitz Report LOV SQL Validation</t>
  </si>
  <si>
    <t>Blitz Report list of values</t>
  </si>
  <si>
    <t>Blitz Report LOVs</t>
  </si>
  <si>
    <t>Shows the history of active Blitz Report users at every at every month end, looking back the past 60 days.</t>
  </si>
  <si>
    <t>Blitz Report License User History</t>
  </si>
  <si>
    <t>Currently active Blitz Report users (running reports within the past 60 days) and their most frequently executeds reports.</t>
  </si>
  <si>
    <t>Blitz Report License Users</t>
  </si>
  <si>
    <t>Checks if all parameter anchors exist in the xxen_report_parameter_anchors table.</t>
  </si>
  <si>
    <t>Blitz Report Parameter Anchor Validation</t>
  </si>
  <si>
    <t>This report can be used to check which :bind variables were assigned to which Blitz Report parameter, in case there are more than one :binds in the parameter sql text, or in case the same :bind variable name is incorrectly used in different parameters.</t>
  </si>
  <si>
    <t>Blitz Report Parameter Bind Variable Validation</t>
  </si>
  <si>
    <t>Shows Blitz Report parameter differences between the local and a remote database server.
Requires following view to be created on the remote environment to avoid ORA-64202: remote temporary or abstract LOB locator is encountered
create or replace view xxen_report_parameters_v_ as
select
xrpv.*,
dbms_lob.substr(xxen_util.clob_substrb(xrpv.sql_text,4000,1)) sql_text_short,
dbms_lob.substr(xxen_util.clob_substrb(xrpv.lov_query,4000,1)) lov_query_short,
length(xrpv.sql_text) sql_length,
count(*) over (partition by xrpv.report_id) parameter_count
from
xxen_report_parameters_v xrpv;</t>
  </si>
  <si>
    <t>Blitz Report Parameter Comparison between environments</t>
  </si>
  <si>
    <t>Compares the paramaters of two reports for differences</t>
  </si>
  <si>
    <t>Blitz Report Parameter Comparison between reports</t>
  </si>
  <si>
    <t>Blitz report parameters using custom LOVs with the same query more than once so that they should be set up as a shared LOV instead</t>
  </si>
  <si>
    <t>Blitz Report Parameter Custom LOV Duplication Validation</t>
  </si>
  <si>
    <t>Shows any parameters using the xxen_util.dff_columns function, which reference an incorrect DFF table name.</t>
  </si>
  <si>
    <t>Blitz Report Parameter DFF Table Validation</t>
  </si>
  <si>
    <t>Blitz Report's user or template specific parameter default values</t>
  </si>
  <si>
    <t>Blitz Report Parameter Default Values</t>
  </si>
  <si>
    <t>Blitz Report Parameter Dependencies</t>
  </si>
  <si>
    <t>Lists orphaned parameter rows: additional-anchor (sub) parameter rows - those without a display sequence - that do not link to a visible parameter of the same name in the same report (parameter_id not in xxen_report_parameters_link_v).
These are typically left behind by an incomplete parameter rename (e.g. 'Show DFF Attributes' to 'DFF Display'), leaving the old-named multi-anchor sub-rows dangling.
The run-time SQL is assembled solely from xxen_report_parameters_link_v, so an unlinked sub-row is never injected and is harmless at run time, but it clutters the parameter setup and would re-activate unexpectedly if a visible parameter with the old name were re-created.
Use the Category parameter to limit the scope.</t>
  </si>
  <si>
    <t>Blitz Report Parameter Link Validation</t>
  </si>
  <si>
    <t>Blitz report parameters referencing table aliases, which do not exist as a table in the main report SQL</t>
  </si>
  <si>
    <t>Blitz Report Parameter Table Alias Validation</t>
  </si>
  <si>
    <t>Validates if there are any duplicate blitz report parameters</t>
  </si>
  <si>
    <t>Blitz Report Parameter Uniqueness Validation</t>
  </si>
  <si>
    <t>Checks if records in xxen_report_template_pivot have a corresponding record in xxen_report_template_columns</t>
  </si>
  <si>
    <t>Blitz Report Pivot Colums Validation</t>
  </si>
  <si>
    <t>Validates the import of RDF concurrent programs</t>
  </si>
  <si>
    <t>Blitz Report RDF Import Validation</t>
  </si>
  <si>
    <t>Creates a string for the record history columns, based on a table alias.</t>
  </si>
  <si>
    <t>Blitz Report Record History SQL Text Creation</t>
  </si>
  <si>
    <t>Validates Blitz Reports for valid SQL syntax.
This can be useful after mass migrating reports from other tools such as Discoverer, Excl4apps, splashBI or Polaris Reporting Workbench into Blitz Report.</t>
  </si>
  <si>
    <t>Blitz Report SQL Validation</t>
  </si>
  <si>
    <t>Shows all Enginatics reports and their security, for example parameter or SQL restrictions.</t>
  </si>
  <si>
    <t>Blitz Report Security</t>
  </si>
  <si>
    <t>Lists the sharing records for Blitz Report templates - who each template is shared with at Site, Responsibility or User level. The Owner column shows the user who owns each template.
For a Responsibility-level share the Shared With column shows the responsibility name and the Application column shows its owning application; for a User-level share it shows the user name; a Site-level share is available to everyone.
For Responsibility-level shares the Menu Name column shows the responsibility's menu and Blitz Report Menu Entries counts the Blitz Report menu functions already on that menu (blank when none). A blank Blitz Report Menu Entries with a shared template flags a responsibility whose menu is still missing the Blitz Report function - run the Update Menu Entries program to add it.
Set the Assigned to EBS User parameter to a user to answer "which templates can this user actually use, and how". The report then shows one row per access path - a Site share (available to everyone), each Responsibility share on a responsibility the user holds, a direct User share, or ownership - but ONLY for reports the user is allowed to run: it applies the same report-access reach as the run screen (Site, Application, Request Group, Responsibility and User assignments), so a template shared with the user whose report is not assigned to the user is not listed (the user could not run it). The Assigned To User Via column names the level for that row (for example "Responsibility (AP Manager)" or "Owner"); the per-share administrative columns are blank in this mode.
Use the Report Name, Category, Template Name, Template Owner and Sharing Level parameters to narrow the list - for example set Category to Discoverer to pull the templates of all Discoverer reports, or Template Owner to list one user's templates. The Template Name list is filtered to the selected Report Name when one is chosen.</t>
  </si>
  <si>
    <t>Blitz Report Template Sharing</t>
  </si>
  <si>
    <t>Blitz Report column or pivot aggregation layout templates</t>
  </si>
  <si>
    <t>Blitz Report Templates</t>
  </si>
  <si>
    <t>This report can be used to understand which reports, parameters or LOVs contain a certain SQL Text string, or which reports currently use a specific LOV.
It is used to preview all records that would be changed through the Blitz Report mass change functionality in Setup Window&gt;Tools&gt;Mass Change</t>
  </si>
  <si>
    <t>Blitz Report Text Search</t>
  </si>
  <si>
    <t>Blitz Report Translations</t>
  </si>
  <si>
    <t>Lists all active EBS users with their active responsibilities and blitz report execution counts.
The report can be used to analyze blitz report usage within the EBS user community e.g. to find the most active users or to spot the ones not using blitz report to it's full potential yet.</t>
  </si>
  <si>
    <t>Blitz Report User History</t>
  </si>
  <si>
    <t>Lists tables and columns to be secured by Blitz Report's VPD policy functionality (concurrent program 'Blitz Report Update VPD Policies') from lookup XXEN_REPORT_VPD_POLICY_TABLES and validates if corresponding DB policies have been created.</t>
  </si>
  <si>
    <t>Blitz Report VPD Policy Setup</t>
  </si>
  <si>
    <t>All Enginatics report details can be seen here:
https://www.enginatics.com/library/?pg=1&amp;category[]=Enginatics
Blitz Reports with parameters and assignments.
If you are using the free version of Blitz Report, you can use the parameter 'Sort by Free 30 Reports' to show your free reports in column 'Free 30 Reports'.</t>
  </si>
  <si>
    <t>Blitz Reports</t>
  </si>
  <si>
    <t>History of uploaded data, which is kept for profile option Blitz Upload Data Retention Days number of days.</t>
  </si>
  <si>
    <t>Blitz Upload Data</t>
  </si>
  <si>
    <t>Blitz Upload Dependencies</t>
  </si>
  <si>
    <t>Blitz Upload History</t>
  </si>
  <si>
    <t>Cost Accounting</t>
  </si>
  <si>
    <t>Report to show the valid A/P Accrual Accounts which have been set up in the Select Accrual Accounts Form.  Showing the Ledger, Operating Unit, Accrual Accounts, Creation Date, Created By and Last Updated By.  The A/P Accrual Load Program uses these accounts to find the Payables, Receiving and Inventory accounting accrual entries for the A/P Accrual Load results.
Parameters:
===========
Operating Unit:  enter the specific operating unit(s) you wish to report (optional).
Ledger:  enter the specific ledger(s) you wish to report (optional).
/* +=============================================================================+
-- |  Copyright 2008 - 2025 Douglas Volz Consulting, Inc.
-- |  All rights reserved.
-- |  Permission to use this code is granted provided the original author is
-- |  acknowledged. No warranties, express or otherwise is included in this
-- |  permission.
-- +=============================================================================+
-- |
-- |  Original Author: Douglas Volz (doug@volzconsulting.com)
-- | 
-- |  Version Modified on Modified  by   Description
-- |  ======= =========== ============== =========================================
-- |  1.0     10 Nov 2008 Douglas Volz   Initial Coding
-- |  1.1     08 Nov 2011 Douglas Volz   Modified for Release 12
-- |  1.2     15 Feb 2025 Douglas Volz   Added Ledger and Operating Unit parameters,
-- |					                 and added G/L and Operating Unit Security Controls.
-- +=============================================================================+*/
</t>
  </si>
  <si>
    <t>CAC AP Accrual Accounts Setup</t>
  </si>
  <si>
    <t>Use this report to match the A/P Accrual entries for internal order inventory receipts with the internal order payables invoices, by the internal sale order and line number.  If run in Detail Mode, shows inventory receipts and payables invoices on separate lines with detailed information, if run in Summary Mode, the sales order line is summarized into one row.
Parameters:
===========
Report Mode:  you can get a summary by sales order and line or a detailed report, enter Detail or Summary (mandatory).
Transaction Date from:  enter the IR/ISO beginning transaction date you wish to report (optional).
Transaction Date to:  enter the IR/ISO ending transaction date you wish to report (optional).
Transaction Type:  enter the transaction type you wish to report (optional).
Category Set 1:  the first item category set to report, typically the Cost or Product Line Category Set (optional).
Category Set 2:  the second item category set to report, typically the Inventory Category Set (optional).
Category Set 3:  the third item category set to report (optional).
Item Number:  enter the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2016 - 2025 Douglas Volz Consulting, Inc.
-- |  All rights reserved.
-- |  Permission to use this code is granted provided the original author is
-- |  acknowledged.09o warranties, express or otherwise is included in this permission.
-- +=============================================================================+
-- |
-- |  Original Author: Douglas Volz (doug@volzconsulting.com)
-- |
-- |  Version Modified on Modified  by   Description
-- |  ======= =========== ============== =========================================
-- |  1.0     23 Nov 2016 Douglas Volz   Initial Coding 
-- |  1.1     15 Dec 2016 Douglas Volz   Added Customer Name for A/P Invoice
-- |  1.2     20 Dec 2016 Douglas Volz   Fixed calculation bug for Net Amount
-- |  1.3     10 Jan 2017 Douglas Volz   Added Transaction Type Code 61 and Transaction
-- |                                     Source Type 7 in order to report internal 
-- |                                     order receipts for txn type Int Req Intr Rcpt
-- |                                     and corrected SIGN of net quantity.
-- |  1.4     17 Jan 2017 Douglas Volz   Added Int Req Intr Rcpt to the Inventory Queries
-- |                                     corrected the transaction type code for material
-- |                                     transactions, truncated the transaction date 
-- |                                     and corrected the report sort by order number and
-- |                                     transaction type (receipts first).
-- |  1.5     18 Jan 2017 Douglas Volz   Added Vendor Name and Transaction Source.
-- |  1.6     19 Jan 2017 Douglas Volz   Commented out the customer type indicator, was
-- |                                     preventing A/P invoices from being reported.
-- |  1.7     09 Jun 2017 Douglas Volz   Added new section to report Intransit Shipments
-- |                                     for FOB Shipment with the order booked in one
-- |                                     OU but shipped from another OU
-- |  1.8     11 Jun 2017 Douglas Volz   Added Transaction Date and Operating Unit
-- |                                     Parameters.  Added new section 5 for Payables
-- |                                     invoices which are unmatched to POs or for IR/ISOs.
-- |  1.9     26 Feb 2025 Douglas Volz   Removed tabs, cleaned up for Blitz Report.
-- +=============================================================================+*/</t>
  </si>
  <si>
    <t>CAC AP Accrual IR ISO Match Analysis</t>
  </si>
  <si>
    <t>Report to show when the A/P Accrual Reconciliation Load program was run and by whom, including the Ledger, Operating Unit, Build Id, Request Id, Creation Date and Last Updated By.
Parameters:
===========
Beginning Creation Date:  enter the starting creation date to report, based on the operating unit for your session's inventory organization (optional).
Operating Unit:  enter the specific operating unit(s) you wish to report (optional).
Ledger:  enter the specific ledger(s) you wish to report (optional).
/* +=============================================================================+
-- |  Copyright 2019 - 2025 Douglas Volz Consulting, Inc.
-- |  All rights reserved.
-- | Permission to use this code is granted provided the original author is
-- | acknowledged. No warranties, express or otherwise is included in this permission.
-- +=============================================================================+
-- |
-- |  Original Author: Douglas Volz (doug@volzconsulting.com)
-- | 
-- |  Version Modified on Modified  by   Description
-- |  ======= =========== ============== =========================================
-- |  1.0     31 Oct 2019 Douglas Volz   Initial Coding
-- |  1.1     28 Jan 2025 Douglas Volz   Added creation date parameter
-- |  1.2     15 Feb 2025 Douglas Volz   Added Operating Unit and Ledger Security
-- |                                     Profile Controls and parameters.
-- +=============================================================================+*/</t>
  </si>
  <si>
    <t>CAC AP Accrual Reconciliation Load Request</t>
  </si>
  <si>
    <t>Use this report to summarize the A/P Accrual entries from the Accrual Reconcilation Report tables, by operating unit, accrual match type and inventory organization.  Use this report for summary reconciliation purposes, to justify the "at time of receipt" accrual balances for your inventory and expense A/P accrual accounts.
Parameters:
===========
Transaction Date From:  enter the accrual starting transaction date you wish to report.  Defaults to the earliest date found (mandatory).
Transaction Date To:  enter the accrual ending transaction date you wish to report.  Defaults to the latest date found (mandatory).
Operating Unit:  operating unit you wish to report (optional).
Ledger:  general ledger you wish to report (optional).
/* +=============================================================================+
-- |  Copyright 2011-2025 Douglas Volz Consulting, Inc.
-- |  All rights reserved.
-- |  Permission to use this code is granted provided the original author is
-- |  acknowledged.
-- +=============================================================================+
-- |
-- |  Original Author: Douglas Volz (doug@volzconsulting.com)
-- | 
-- |  Version Modified on Modified  by   Description
-- |  ======= =========== ============== =========================================
-- |  1.0     11 Nov 2011 Douglas Volz   Initial Coding based on xxx_ap_accrual_summary_rept.sql
-- |                                     Retrofitted to R12 A/P Accrual tables
-- |  1.1     07 May 2019 Douglas Volz   Modified for upgrade client
-- |  1.2     06 Feb 2020 Douglas Volz   Added Ledger parameter.
-- |  1.3     09 Apr 2020 Douglas Volz   Commented out capr.inventory_transaction_id column
-- |                                     Was added by Oracle for consignment transactions in
-- |                                     Release 12.1.6.
-- |  1.4     15 Apr 2020 Douglas Volz   Undid modifications for upgrade client
-- |  1.5     17 Feb 2025 Douglas Volz   Formatted for Blitz Report.
-- +=============================================================================+*/</t>
  </si>
  <si>
    <t>CAC AP Accrual Reconciliation Summary by Match Type</t>
  </si>
  <si>
    <t>Report to show the accounting period status for General Ledger, Inventory, Lease Management, Payables, Projects, Purchasing and Receivables.  You can choose All Statuses (open or closed or never opened), Closed, Open or Never Opened periods.  And for process manufacturing (OPM), if your cost calendar has the same period end dates as your inventory accounting periods, this report will also display the OPM cost calendar status.  
Note:  this report automatically looks for hierarchies which might be used with the Open Period Control and the Close Period Control Oracle programs.
Parameters
==========
Period Name - the desired inventory accounting period you wish to report (mandatory).
Report Period Option - the parameter used to combine the Period Open and Period Close reports.  The list of value choices are:  Closed, Open, Never Opened or All Statuses (mandatory).
Functional Area - the Oracle module(s) or functional area you wish to report.  To see all functional areas leave this parameter empty (optional).
Hierarchy Name - select the organization hierarchy used to open and close your inventory organizations.  If you leave this parameter blank the report will try to find any organization hierarchy having "Period", "Open", or "Close" in the hierarchy name (optional)
Organization Code:  any inventory organization, defaults to your session's inventory organization (optional).
Operating Unit:  Operating Unit you wish to report, leave blank for all operating units (optional).
Ledger:  general ledger you wish to report, leave blank for all ledgers (optional).
/* +=============================================================================+
-- | SQL Code Copyright 2011-2024 Douglas Volz Consulting, Inc.
-- | All rights reserved.
-- | Permission to use this code is granted provided the original author is
-- | acknowledged. No warranties, express or otherwise is included in this permission.
-- |
-- |  Original Author: Douglas Volz (doug@volzconsulting.com)
-- |
-- |  Version Modified on Modified  by    Description
-- |  ======= =========== =============== =========================================
-- |  1.0     19 Jan 2015 Douglas Volz    Combined the xxx_period_open_status_rept.sql xxx_period_close_status_rept.sql into one report.  Originally written in 2006 and 2011.
-- |  1.1     19 Jan 2015 Douglas Volz    Added OPM Cost Calendar status and Projects.
-- |  1.2     19 Dec 2016 Douglas Volz    Fixed list of value choices, was preventing purchasing operating units from being reported.
-- |  1.3     18 May 2016 Douglas Volz    Minor fix for reporting the Organization Hierarchy
-- |  1.4     03 Dec 2018 Douglas Volz    Open Periods option now checks for Summarized_Flag.
-- |  1.5     27 Oct 2019 Douglas Volz    Condense A/R, A/P, Projects, Purchasing SQL logic
-- |  1.6     16 Jan 2020 Douglas Volz    Add operating unit parameter
-- |  1.7     10 Apr 2020 Douglas Volz    Made the following multi-language changes:  Changed fnd_application to fnd_application_vl and changed hr_all_organization_units to hr_all_organization_units_vl
-- |  1.8      7 May 2020 Douglas Volz    Added fnd_product_installations to only report installed applications.
-- |  1.9     26 May 2020 Douglas Volz    Added lookup values and parameters for the organization_hierarchy_name subquery.
-- |  1.10    28 May 2020 Douglas Volz    For language translation, replaced custom Report Options LOV with compound Oracle lookup values.
-- |  1.11    21 Jun 2020 Douglas Volz    Added Organization Hierarchy as a separate parameter
-- |  1.12    07 Feb 2022 Eric Clegg      Added who columns using xxen_util functions.
-- |  1.13    13 Mar 2022 Douglas Volz    Modified for financial apps, to show blank who column values if status = Never Opened.
-- |  1.14    11 Jun 2024 Douglas Volz    Replaced tabs with spaces.  Reinstalled missing parameters.
-- +=============================================================================+*/</t>
  </si>
  <si>
    <t>CAC Accounting Period Status</t>
  </si>
  <si>
    <t>Using purchase order receipts, calculate average item costs over a specified transaction date range and compare against the Comparison Cost Type.  In addition, with the Use Default Material Overheads parameter you can choose which material overheads to use on this report.  Select Yes to use the Default Material Overhead setups.  Set to No to use the material overheads from the specified Comparison Cost Type.  And if planning to use roll up these item costs, to avoid doubling up rolled up material costs on assemblies, choose Yes for the parameter Exclude Rolled Up Items, to avoid having manually defined material costs and rolled up material costs.
Parameters:
===========
Transaction Date From:  enter the starting transaction date for PO Receipt History (mandatory).
Transaction Date To:  enter the ending transaction date for PO Receipt History (mandatory).
Comparison Cost Type: enter the cost type to compare against the calculated average item costs (mandatory).  If the costs are not found in the Comparison Cost Type get them from the Costing Method Cost Type.
Use Default Material Overheads:  set to Yes to report the material overheads based on the Default Material Overhead setups.  Set to No to use the material overheads from the specified Comparison Cost type (mandatory).
Only Active Rates:  set to Yes to only get active, enabled default material overhead rates (mandatory).
Exclude Rolled Up Items:  to avoid doubling up rolled up material costs, choose Yes for this parameter, to avoid having manually defined material costs and rolled up material costs (mandatory).
Currency Conversion Date:  the exchange rate conversion date that was used to set the standard costs (mandatory).
Currency Conversion Type:  the exchange rate conversion type that was used to set the standard costs (mandatory).
Show Last AP Invoice:  Enter Yes to show the last AP invoice date, number and price (mandatory).
Category Set 1:  any item category you wish, typically the Cost or Product Line category set (optional).
Category Set 2:  any item category you wish, typically the Inventory category set (optional).
Supplier Type to Exclude:  enter the specific supplier(s) you wish to exclude from the average cost calculations (optional).
Item Status to Exclude:  enter the item number status you want to exclude.  Defaulted to 'Inactive'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Copyright 2006 - 2023 Douglas Volz Consulting, Inc.
-- |  All rights reserved.
-- |  Permission to use this code is granted provided the original author is
-- |  acknowledged.  No warranties, express or otherwise is included in this permission.
-- |
-- | Version Modified on Modified by Description
-- | ======= =========== ============== =========================================
-- | 1.0     05 Jan 2019 Douglas Volz   Initial Coding based on item_cost_history.sql
-- | 1.15    10 Jan 2023 Douglas Volz   Fix for Average Cost calculations, UOM issue.
-- | 1.16    21 Aug 2023 Douglas Volz   Remove tabs and restrict to only orgs you have access to,
-- |                                    Add last payables invoice and purchase order price information.
-- | 1.17    25 Sep 2023 Douglas Volz   Fix for the Last PO and Last A/P information
-- | 1.18    13 Oct 2023 Andy Haack     Fix for G/L Daily Rates, outer joins
-- | 1.19    24 Nov 2023 Douglas Volz   Fixed item number parameter for last PO information
-- |                                    and fix Last A/P Invoice info for G/L Daily Rates
-- | 1.20    08 Dec 2023 Douglas Volz   Added G/L and Operating Unit security restrictions.
-- +=============================================================================+*/</t>
  </si>
  <si>
    <t>CAC Calculate Average Item Costs</t>
  </si>
  <si>
    <t>Report to identify the intercompany "To Org" profit in inventory (also known as PII or ICP) for each inventory organization and item.  Report gets the PII item costs across organizations, by joining the sourcing rule information from the first "hop" to the sourcing rule information to the second "hop".  In addition, if an item has a source organization in the item master, but the sourcing rule does not exist, this item relationship will still be reported.  This report also assumes that the first hop may have profit in inventory from another source organization and will not include any profit in inventory from the source org for the "To Org" profit in inventory calculations.  Likewise for the "To Org", any this level material overheads, resources, outside processing or overhead costs are ignored for the profit in inventory calculations.  In addition, inactive items and disabled organizations are ignored.
Note:  there is one hidden parameter: 
1) Numeric Sign for PII which allows you to set the sign of the profit in inventory amounts.  You can specify positive or negative values based on how you enter PII amounts.  Defaulted as positive (+1).
Displayed Parameters:
Assignment Set:  the set of sourcing rules to use with calculating the PII item costs (mandatory).
Cost Type:  the cost type to use for the item costs, such as Frozen or Pending (mandatory).
PII Cost Type:  the profit in inventory cost type you wish to report (mandatory).  May or may not be the same as the Cost Type parameter.
PII Sub-Element:  the sub-element or resource for profit in inventory, such as PII or ICP (mandatory).
Currency Conversion Date:  the exchange rate conversion date that was used to set the standard costs (mandatory).
Currency Conversion Type:  the exchange rate conversion type that was used to set the standard costs (mandatory).
Period Name:  the accounting period you wish to report for; this value does not change any PII or item costs, it is merely a reference value for reporting purposes (mandatory).
Include Transfers to Same OU:  allows you to include or exclude transfers within the same Operating Unit (OU).  Defaulted to include these internal transfers.
From Organization: the shipping from inventory organization you wish to report (optional).
To Organization: the shipping to inventory organization you wish to report (optional).
Category Set 1:  the first item category set to report, typically the Cost or Product Line Category Set.
Category Set 2:  the second item category set to report, typically the Inventory Category Set.
Item Number:  enter a specific item number you wish to report (optional).
/* +=============================================================================+
-- | Copyright 2009-23 Douglas Volz Consulting, Inc.
-- | All rights reserved.
-- | Permission to use this code is granted provided the original author is
-- | acknowledged. No warranties, express or otherwise is included in this permission.
-- +=============================================================================+
-- | Version Modified on Modified by Description
-- | ======= =========== ============== =========================================
-- | 1.0     26 Sep 2009 Douglas Volz   Initial Coding
-- | 1.34     05 May 2021 Douglas Volz   Add Make Buy Code.
-- | 1.35    26 Feb 2022 Douglas Volz   Add category sets and To Org and From Org
-- |                                    parameters. Add two hidden parameters,
-- |                                    Include Same OU Transfers and set Sign
-- |                                    for PII Amounts (p_sign_pii), to determine 
-- |                                    if PII is entered as a positive or negative.
-- | 1.36     28 Nov 2023 Andy Haack     Remove tabs, add org access controls, fix for G/L Daily Rates, outer joins
-- | 1.37     28 Jan 2024 Douglas Volz   Make Include Transfers to Same OU a displayed parameter. 
+=============================================================================+*/</t>
  </si>
  <si>
    <t>CAC Calculate ICP PII Item Costs</t>
  </si>
  <si>
    <t>Report to identify the intercompany "To Org" profit in inventory (also known as PII or ICP) for each inventory organization and item.  Gets the PII item costs by joining the sourcing rule information from the first "hop" from the sourcing rule information to the second "hop".  In addition, if an item has a source org in the item master, but the sourcing rule does not exist, this item relationship will still be reported.  This report also assumes that the first hop may have profit in inventory from another source organization and will not include any profit in inventory from the source org for the "To Org" profit in inventory calculations.  Likewise for the "To Org", any this level material overheads, resources, outside processing or overhead costs are ignored for the profit in inventory calculations.  In addition, inactive items and disabled organizations are ignored.  And while calculating the profit in inventory item costs, this report also shows where these components are being used on the To Org bills of material.
Parameters:
Assignment Set:  the set of sourcing rules to use with calculating the PII item costs (mandatory).
From (Source) Organization:  the source organization where the goods come from (optional).
To Organization:  the organization where the goods are being shipped to (optional).
Cost Type:  the cost type to use for the item costs, such as Frozen or Pending (mandatory).
PII Cost Type:  the profit in inventory cost type you wish to report (mandatory).
PII Sub-Element:  the sub-element or resource for profit in inventory, such as PII or ICP (mandatory).
Currency Conversion Date:  the exchange rate conversion date that was used to set the standard costs (mandatory).
Currency Conversion Type:  the exchange rate conversion type that was used to set the standard costs (mandatory).
Period Name:   the accounting period you wish to report for; this value does not change any PII or item costs, it is merely a reference value for reporting purposes (mandatory).
Include Transfers to Same OU:  allows you to include or exclude transfers within the same Operating Unit (OU).  Defaulted to not include these internal transfers.
Include Expense Items:  enter Yes or No to indicate if you want to include expense items on the bills of material (mandatory).  Defaulted to No.
Include Uncosted Items:  enter Yes or No to indicate if you want to include uncosted items on the bills of material (mandatory).  Defaulted to No. 
Category Set 1:  any item category you wish, typically the Cost or Product Line category set (optional).
Category Set 2:  any item category you wish, typically the Inventory category set (optional).
Component Number:  enter the specific component(s) you wish to report (optional).
Assembly Number:  enter the specific assembly or assemblies you wish to report (optional).
Include Unimplemented ECOs:  enter Yes or No to indicate if you want to include engineering changes which have not been implemented (mandatory).
Operating Unit:  enter the specific operating unit(s) you wish to report (optional).
Ledger:  enter the specific ledger(s) you wish to report (optional).
Hidden Parameters:
Numeric Sign for PII:  to set the sign of the profit in inventory amounts.  This parameter determines if PII is normally entered as a positive or negative amount (mandatory).
-- |  Copyright 2018 - 2024 Douglas Volz Consulting, Inc., all rights reserved.
-- |  Permission to use this code is granted provided the original author is  acknowledged. No warranties, express or otherwise is included in this permission. 
-- |  
-- |  Version Modified on Modified  by   Description
-- |  ======= =========== ============== =========================================
-- |  1.6     29 Jan 2024 Doug Volz      Remove tabs, add org access controls, fix for G/L Daily Rates,
-- |                                     Make three parameters non-hidden:  Include Transfers to Same OU, Include Expense Items and Include Uncosted Items.
</t>
  </si>
  <si>
    <t>CAC Calculate ICP PII Item Costs by Where Used</t>
  </si>
  <si>
    <t>Report to show the category accounts in use.  If category accounts have been set up with your Subledger Accounting Rules, the Inventory Cost Processor can use them and bypass the organization accounts (Average, LIFO, FIFO Costing) or the subinventory accounts (Standard Costing).
/* +=============================================================================+
-- |  Copyright 2021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xxx_category_setup_accts_rept.sql
-- |
-- |  Parameters:
-- |  p_org_code         -- Specific inventory organization you wish to report (optional)
-- |  p_operating_unit   -- Operating_Unit you wish to report, leave blank for all
-- |                        operating units (optional) 
-- |  p_ledger           -- general ledger you wish to report, leave blank for all
-- |                        ledgers (optional)
-- | 
-- |  Description:
-- |  Report to show accounts used for the subinventories
-- | 
-- |  Version Modified on Modified  by   Description
-- |  ======= =========== ============== =========================================
-- |  1.0     16 Aug 2021 Douglas Volz   Initial Coding
-- +=============================================================================+*/</t>
  </si>
  <si>
    <t>CAC Category Accounts Setup</t>
  </si>
  <si>
    <t>Report to show the cost group accounts in use.  If using Average Costing, FIFO Costing, LIFO Costing, WMS (Warehouse Management System) or Project Manufacturing, the Inventory Cost Processor uses the cost group valuation accounts as opposed to subinventory valuation accounts.
Parameters:
===========
Organization Code:  enter the specific inventory organization(s) you wish to report (optional).
Operating Unit:  enter the specific operating unit(s) you wish to report (optional).
Ledger:  enter the specific ledger(s) you wish to report (optional).
/* +=============================================================================+
-- |  Copyright 2022 Douglas Volz Consulting, Inc.
-- |  All rights reserved.
-- |  Permission to use this code is granted provided the original author is
-- |  acknowledged.  No warranties, express or otherwise is included in this
-- |  permission.
-- +=============================================================================+
-- |  Version Modified on Modified  by   Description
-- |  ======= =========== ============== =========================================
-- |  1.0     04 Oct 2022 Douglas Volz   Initial Coding
-- +=============================================================================+*/</t>
  </si>
  <si>
    <t>CAC Cost Group Accounts Setup</t>
  </si>
  <si>
    <t>Report comparing the month-end items, balances and costs against any entered Cost Type, showing which item numbers in your month-end inventory which are not in your Cost Type.  You automatically save off your month-end quantities and values when you close the inventory accounting period.
Parameters:
==========
Period Name (Closed):  the closed inventory accounting period you wish to report (mandatory).
Cost Type:  enter a Cost Type to compare against the stored month-end items, quantities and values (mandatory).
Item Number:  enter the specific item number(s) you wish to report (optional).
Organization Code:  any inventory organization, defaults to your session's inventory organization (optional).
Operating Unit:  specific operating unit (optional)
Ledger:  specific ledger (optional)
/* +=============================================================================+
-- | Copyright 2024 - 2025 Douglas Volz Consulting, Inc.
-- | All rights reserved.
-- | Permission to use this code is granted provided the original author is
-- | acknowledged. No warranties, express or otherwise is included in this permission.
-- +=============================================================================+
-- |
-- |  Original Author: Douglas Volz (doug@volzconsulting.com)
-- | ===================================================================
-- | Version Modified on Modified by Description
-- | ======= =========== ============== =========================================
-- | 1.0     15 Jan 2024 Douglas Volz Initial Coding
-- | 1.1     04 Mar 2025 Douglas Volz Removed tabs, add ledger and operating unit
-- |                                  columns and security access profiles.
-- +=============================================================================+*/</t>
  </si>
  <si>
    <t>CAC Cost Type Costs Not in Period Close Inventory Snapshot</t>
  </si>
  <si>
    <t>Compare item make/buy controls vs. costing based on rollup controls, to find errors with your cost rollup results.  There are twelve included reports, see below description for more information.
Available Reports:
1.  Based on Rollup Yes - No BOMS
     Find make items where the item is set to be rolled up but there are no BOMs.  May roll up to a zero cost.
2.  Based on Rollup Yes - No Routing
     Find make items costs are based on the cost rollup, but there are no routings.
3.  Based on Rollup Yes - No Rollup
     Find make items where it is set to be rolled up but there are no rolled up costs
4.  Based on Rollup Yes - Buy Items
     Find buy items where the item is set to rolled up 
5.  Based on Rollup No - With BOMS
     Find make items where the item is not set to be rolled up but BOMS or routings exist.
6.  Based on Rollup No - With Sourcing Rules
     Find buy items where costs are not based on the cost rollup, but sourcing rules exist.
7.  Based on Rollup No - Make Items
     Find make items where the item is not set to rolled up, whether or not BOMs or routings exist. 
8.  Lot-Based Resources With Lot Size One
     Find make items where there are charges based on Lot but the lot size is one.  Duplicates the setup charges for each item you make.
9.  BOMs With No Components
     Find make items with BOMS that have no components.
10.  Item Costing vs. Item Asset Controls
        Find items where the item master costed flag (costed enabled) and the item asset flag do not match.
11.  Item Asset vs. Costing Asset Controls
        Find items where the item master asset and the costing asset flags do not match.
 12.  Based on Rollup No - Defaulted Costs
        Find items where the item is not rolled up but the defaulted flag says Yes
Parameters:
===========
Cost Type:  the Frozen or Pending cost type you wish to report (mandatory).
Assignment Set:  for your organization sourcing rules, enter an assignment set (optional).
Category Sets 1 - 3:  any item category you wish, typically the Cost or Product Line category sets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2008-2025 Douglas Volz Consulting, Inc.
-- |  All rights reserved.
-- |  Permission to use this code is granted provided the original author is
-- |  acknowledged. No warranties, express or otherwise is included in this permission.
-- +=============================================================================+
-- |  1.0     15 Oct 2008 Douglas Volz   Initial Coding
-- |  1.34    06 May 2021 Douglas Volz   Using a with statement, summarized report type queries for efficiency.
-- |  1.35    23 Apr 2022 Douglas Volz   Add new column "Defaulted Costs" and new report type "Based on
-- |                                     Rollup No - Defaulted Costs".  The defaulted flag indicates
-- |                                     whether the cost of the item is defaulted from the default cost
-- |                                     type during cost rollup.
-- |  1.36   07 Jan 2024 Douglas Volz    Add current onhand quantities, to help find valuation issues.  Remove
-- |                                     tabs, add operating unit and ledger security and inventory access controls.
-- |  1.37   10 Apr 2025 Douglas Volz    Added in new GL and OU security profiles.
-- |  1.38   13 Apr 2025 Douglas Volz    Fix ORA-43916 Collation Error for character expressions 'Y', 'N'.
-- +=============================================================================+*/
</t>
  </si>
  <si>
    <t>CAC Cost vs. Planning Item Controls</t>
  </si>
  <si>
    <t>Report to find the out-of-balance deferred COGS entries by organization, item and sales order number.  You do not need to run Create Accounting as this report uses the pre-Create Accounting material accounting entries.
/* +=============================================================================+
-- |  Copyright 2019 - 2020 Douglas Volz Consulting, Inc.                        |
-- |  All rights reserved.                                                       |
-- |  Permission to use this code is granted provided the original author is     |
-- |  acknowledged                                                               |
-- +=============================================================================+
-- |
-- |  Original Author: Douglas Volz (doug@volzconsulting.com)
-- |
-- |  Program Name:  xxx_mtl_dist_xla_oob_dcogs_rept.sql
-- |
-- |  Parameters:
-- |  p_trx_date_from    -- Starting accounting date for the transaction lines
-- |  p_trx_date_to      -- Ending accounting date for the transaction lines
-- |  p_category_set1    -- The first item category set to report, typically the
-- |                        Cost or Product Line Category Set
-- |  p_category_set2    -- The second item category set to report, typically the
-- |                        Inventory Category Set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to find the out-of-balance deferred COGS entries.  
-- | 
-- |  Version Modified on Modified  by   Description
-- |  ======= =========== ============== =========================================
-- |  1.0     07 Jun 2019 Douglas Volz   Initial Coding, based on version 1.25 for
-- |                                     the xxx_mtl_dist_xla_detail_rept.sql.
-- |  1.1     06 Feb 2020 Douglas Volz   Adding Operating Unit and Org Code parameters. 
-- |  1.2     20 Apr 2020 Douglas Volz   Changed to multi-lang views for the item
-- |                                     master, item category sets and operating units.   
-- |  1.3     26 Jul 2020 Douglas Volz   Removed Ledger, Operating Unit, subinventory,
-- |                                     Item Type, Subledger Accounting tables and joins. 
-- |                                     Removed Create Accounting from this report;
-- |                                     get the quantities from mmt, when the item
-- |                                     cost is zero the DCOGS entries are not
-- |                                     recorded on the COGS Recognition Txn Type.
-- |  1.4     29 Jun 2022 Douglas Volz   Added back Ledger, Operating Unit, item type, plus
-- |                                     added language tables for item status and UOM.   
-- +=============================================================================+*/</t>
  </si>
  <si>
    <t>CAC Deferred COGS Out-of-Balance</t>
  </si>
  <si>
    <t>Report to show departmental overheads and rates
/* +=============================================================================+
-- |  Copyright 2016 - 2020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xxx_dept_ovhd_rates.sql
-- |
-- |  Parameters:
-- |  p_ledger	    -- Ledger you wish to report, enter a null or blank for all
-- |                   ledgers.
-- |  p_cost_type   -- Cost Type you wish to report, enter a null or blank for all
-- |                   cost types.
-- | 
-- |  Description:
-- |  Report to show departmental overheads and rates.
-- | 
-- |  Version Modified on Modified  by   Description
-- |  ======= =========== ============== =========================================
-- |  1.0     17 Sep 2013 Douglas Volz   Initial Coding
-- |  1.1     18 Oct 2016 Douglas Volz   Added organization information
-- |  1.2      6 Sep 2019 Douglas Volz   Added last update date
-- |  1.3     27 Jan 2020 Douglas Volz   Added Operating Unit parameter
-- |  1.4     26 Apr 2020 Douglas Volz   Changed to multi-language views for 
-- |                                     operating units.+=============================================================================+*/</t>
  </si>
  <si>
    <t>CAC Department Overhead Rates</t>
  </si>
  <si>
    <t>Report to show the departments and the overhead codes assigned to each department.  In addition, this report displays the corresponding overhead and resource rates.
Note:  if a resource does not have a cost, the Resource Rate column has a blank or empty value.
Parameters:
===========
Cost Type:  enter the cost type you wish to use to report.  If left blank, depending on your Costing Method, it defaults to your AvgRates or Frozen Cost Type (optional).
Category Set 1:  any item category you wish, typically the Cost or Product Line category set (optional).
Category Set 2:  any item category you wish, typically the Inventory category set (optional).
Organization Code:  enter the specific inventory organization(s) you wish to report (optional).
Operating Unit:  enter the specific operating unit(s) you wish to report (optional).
Ledger:  enter the specific ledger(s) you wish to report (optional).
/* +=============================================================================+
-- |  Copyright 2016 - 2024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xxx_dept_ovhd_setup.sql
-- |
-- |  Version Modified on Modified  by   Description
-- |  ======= =========== ============== =========================================
-- |  1.0     18 Oct 2016 Douglas Volz   Initial Coding
-- |  1.1     07 Nov 2016 Douglas Volz   Added Department / Resource relationships
-- |  1.2     17 Jul 2018 Douglas Volz   Made Cost Type parameter optional
-- |  1.3     12 Jan 2020 Douglas Volz   Added Org Code and Operating Unit parameters
-- |                                     and change to gl.short_name.  Added Last
-- |                                     rate update column to report.
-- |  1.4     27 Apr 2020 Douglas Volz   Changed to multi-language views for the 
-- |                                     inventory orgs and operating units.
-- |  1.5     22 Jan 2024 Douglas Volz   Add select statement for cst_resource_costs, overheads
-- |                                     were not reported if the resource cost was missing.
-- |                                     Added resource "Allow Costs" column.  Removed
-- |                                     tabs and added inventory access controls.
-- +=============================================================================+*/</t>
  </si>
  <si>
    <t>CAC Department Overhead Setup</t>
  </si>
  <si>
    <t>This report displays two types of department overhead setup errors.  First, show overheads which are not assigned to departments, but, have been assigned to resources and those resources have been assigned to these departments as well.  This error is called "Overhead Rates Not In Department".  The second error is when resources which have been assigned to departments but these resources have not been assigned to the overheads which also have been assigned to these departments.  This error is "Overheads Not Set Up with Resources".  When either error you will not earn these overheads when you roll up or charge these resources.
To fix the "Overhead Rates Not In Department" error, go to the Overhead Define Form, click on the Rates button and enter a department overhead rate for that overhead.  To fix the  "Overheads Not Set Up with Resources" error, again go to the Overhead Define Form, click on the Resources button and enter the missing resource for that overhead.  
Parameters:
===========
Cost Type:  enter Pending or Frozen or other cost type name. 
Exclude Outside Processing:  enter Yes to exclude outside processing resources from this report.  Enter No to include outside processing resources.  Defaults to Yes (mandatory). 
Organization Code:  any inventory organization, defaults to your session's inventory organization (optional).
Operating Unit:  specific operating unit (optional).
Ledger:  specific ledger (optional).
/* +=============================================================================+
-- | Copyright 2016 - 2023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xxx_ovhd_dept_errors.sql
-- | 
-- |  Description:
-- |  Report to show department overheads setup errors.
-- | 
-- |  Version Modified on Modified  by   Description
-- |  ======= =========== ============== =========================================
-- |  1.0     07 Nov 2016 Douglas Volz   Initial Coding
-- |  1.1     08 Nov 2016 Douglas Volz   Added Cost Element
-- |  1.2     12 Jan 2020 Douglas Volz   Added Org Code and Operating Unit parameters
-- |                                     and change to gl.short_name.
-- |  1.3     27 Apr 2020 Douglas Volz   Changed to multi-language views for the 
-- |                                     inventory orgs and operating units.
-- |  1.4     09 Sep 2023 Douglas Volz   Added new report for missing resource/overhead
-- |                                     associations.  Removed tabs and restrict to only
-- |                                     orgs you have access to, using the org access view.
-- +=============================================================================+*/
</t>
  </si>
  <si>
    <t>CAC Department Overhead Setup Errors</t>
  </si>
  <si>
    <t>Report showing potential standard cost changes for onhand and intransit inventory value which you own, for gross, profit in inventory and net inventory values.  If you enter a period name this report uses quantities from the month-end snapshot; if you leave the period name blank it uses the real-time quantities.  The Cost Type (Old) defaults to your Costing Method Cost Type (Average, Standard, etc.), the Currency Conversion Dates default to the current accounting period, and the To Currency Code and the Organization Code default from the organization code set for this session.  And to use the quantities from the month-end snapshot, you can only choose closed accounting periods as the month-end snapshot is created when you close the inventory accounting period.
Note:  If using this report for reporting after the standard cost update this report requires both the before and after cost types available after the standard cost update is run.
           Please save your frozen costs to another Cost Type before running the standard cost update, using the item cost copy.
Hidden Parameters:
Sign PII:  hidden parameter to set the sign of the profit in inventory amounts.  This parameter determines if PII is normally entered as a positive or negative amount.
Default value for this report assumes PII costs are entered as positive amounts.
Displayed Parameters:
Cost Type (New):  the new cost type to be reported, mandatory
Cost Type (Old):  the old cost type to be reported, mandatory
PII Cost Type (New):  the new PII Cost Type you wish to report, such as PII or ICP, mandatory
PII Cost Type (Old):  the prior or old PII Cost Type you wish to report, such as PII or ICP, mandatory
PII Sub-Element:  the sub-element or resource for profit in inventory, such as PII or ICP, mandatory
Currency Conversion Date(New):  the new currency conversion date, mandatory
Currency Conversion Date (Old):  the old currency conversion date, mandatory
Currency Conversion Type (New):  the desired currency conversion type to use for cost type 1, mandatory
Currency Conversion Type (Old):  the desired currency conversion type to use for cost type 2, mandatory
To Currency Code:  the currency you are converting into
Period Name:  enter a Period Name to use the month-end snapshot; if no  period name is entered will use the real-time quantities
Category Set1:  the first item category set to report, typically the  Cost or Product Line Category Set
Category Set2:  the second item category set to report, typically the Inventory Category Set
Include Zero Quantities:  include items with no onhand or no intransit quantities
Only Items in Cost Type:  only report items in the New Cost Type
Item Number:  specific item number to report, leave blank for all operating units, optional
Organization Code:  specific inventory organization you wish to report, optional
Operating Unit:  Operating Unit you wish to report, leave blank for all operating units, optional
Ledger:  general ledger you wish to report, leave blank for all ledgers, optional
-- |  Copyright 2008-2024 Douglas Volz Consulting, Inc.
-- |  All rights reserved.
-- |  Permission to use this code is granted provided the original author is
-- |  acknowledged.  No warranties, express or otherwise is included in this permission.
-- |  Version Modified on  Modified  by   Desc
-- |  ======= =========== ============== =========================================
-- |      1.0 21 Nov 2010 Douglas Volz   Created initial Report for prior client based on BBCI_INV_VALUE_STD_ADJ_FX_REPT1.7.sql
-- |     1.14 07 Feb 2024 Douglas Volz   Add item master and costing lot sizes, use default controls,
-- |                                     based on rollup and shrinkage rate columns.  Added in GL and OU security restrictions.
-- |     1.15 25 Jun 2024 Douglas Volz   Reinstalled missing parameter, To Currency Code.  Commented out GL and OU security restrictions.
-- +=============================================================================
</t>
  </si>
  <si>
    <t>CAC ICP PII Inventory Pending Cost Adjustment</t>
  </si>
  <si>
    <t>Report showing amount of profit in inventory at the end of the month.  If you enter a cost type this report uses the item costs from the cost type; if you leave the cost type blank it uses the item costs from the month-end snapshot.  In either case this report uses the month-end quantities, based on the entered period name.  And as these quantities come from the month-end snapshot (created when you close the inventory accounting period) and this snapshot is only by inventory organization, subinventory and item and not split out by cost element, this report only shows the Material Account, based upon your Costing Method.
Notes:
1)  Profit in inventory is abbreviated as PII or sometimes as ICP - InterCompany Profit.
2)  There is a hidden parameter, Numeric Sign for PII, which allows you to set the sign of the profit in inventory amounts.  You can specify positive or negative values based on how you enter PII amounts into your PII Cost Type.  Defaulted as positive (+1).
/* +=============================================================================+
-- | Copyright 2009 - 2022 Douglas Volz Consulting, Inc.
-- |  All rights reserved.
-- |  Permission to use this code is granted provided the original author is  acknowledged.  No warranties, express or otherwise is included in this  permission.
-- +=============================================================================+
-- |
-- | Original Author: Douglas Volz (doug@volzconsulting.com)
-- |
-- |  Hidden Parameters:
-- |  p_sign_pii          -- Hidden parameter to set the sign of the profit in
-- |                         inventory amounts.  This parameter determines if PII
-- |                         is normally entered as a positive or negative amount.
-- |  Displayed Parameters:
-- |  4 p_period_name     -- Accounting period you wish to report for
-- |  5 p_cost_type       -- Enter a Cost Type to value the quantities
-- |                         using the Cost Type Item Costs; or, if 
-- |                         Cost Type is blank or null the report will 
-- |                         use the stored month-end snapshot values
-- |  6 p_pii_cost_type   -- The PII Cost Type you wish to report (mandatory)
-- |  6 p_pii_sub_element -- The sub-element or resource for profit in inventory,
-- |                         such as PII or ICP (mandatory)
-- |  p_category_set1     -- The first item category set to report, typically the
-- |                         Cost or Product Line Category Set
-- |  p_category_set2     -- The second item category set to report, typically the
-- |                         Inventory Category Set
-- |  4 p_item_number     -- Enter the specific item number you wish to report (optional)
-- |  3 p_subinventory    -- Enter the specific subinventory you wish to report (optional)
-- |  2 p_org_code        -- Specific inventory organization you wish to report (optional)
-- |  1 p_operating_unit  -- Operating Unit you wish to report, leave blank for all
-- |                         operating units (optional) 
-- |  1 p_ledger          -- general ledger you wish to report, leave blank for all
-- |                         ledgers (optional) 
-- | ===================================================================
-- | Version Modified on Modified by Description
-- | ======= =========== ============== =========================================
-- | 1.0     27 Sep 2009 Douglas Volz Initial Coding
-- | 1.19    20 Mar 2022 Douglas Volz Fix for category accounts (valuation accounts) and
-- |                                  added subinventory description.
-- | 1.20    19 Oct 2022 Douglas Volz Fix for valuation accounts, causing duplicate rows.
-- | 1.21    21 Oct 2022 Douglas Volz Fix for detecting Cost Group Accounting.
-- +=============================================================================+*/</t>
  </si>
  <si>
    <t>CAC ICP PII Inventory and Intransit Value (Period-End)</t>
  </si>
  <si>
    <t>Report to show item costs in any cost type, including the profit in inventory costs (also known as ICP or PII).  For one or more inventory organizations.
/* +=============================================================================+
-- | Copyright 2009-2022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xxx_item_cost_rept.sql
-- |
-- |  Parameters:
-- |  p_cost_type              -- The cost type you wish to report
-- |  p_pii_cost_type          -- The new PII Cost Type you wish to report
-- |  p_pii_sub_element        -- The sub-element or resource for profit in inventory,
-- |                              such as PII or ICP (mandatory)
-- |  p_ledger                 -- general ledger you wish to report, works with
-- |                              null or valid ledger names
-- |  p_item_number            -- Enter the specific item number you wish to report
-- |  p_org_code               -- specific organization code, works with
-- |                              null or valid organization codes
-- |  p_include_uncosted_items -- Yes/No flag to include or not include non-costed resources
-- |  p_category_set1          -- The first item category set to report, typically the
-- |                              Cost or Product Line Category Set
-- |  p_category_set2          -- The second item category set to report, typically the
-- |                              Inventory Category Set
-- |
-- | Description:
-- | Report to show item costs in any cost type
-- | 
-- | Version Modified on Modified by Description
-- | ======= =========== ============== =========================================
-- |  1.0     06 Oct 2009 Douglas Volz  Initial Coding
-- |  1.1     16 Mar 2010 Douglas Volz  Updated with Make/Buy flags
-- |  1.2     08 Nov 2010 Douglas Volz  Updated with additional columns and parameters
-- |  1.3     07 Feb 2011 Douglas Volz  Added COGS and Revenue default accounts
-- |  1.4     15 Nov 2016 Douglas Volz  Added category information
-- |  1.5     27 Jan 2020 Douglas Volz  Added Org Code and Operating Unit parameters
-- |  1.6     27 Apr 2020 Douglas Volz  Changed to multi-language views for the item
-- |                                    master, inventory orgs and operating units.
-- |  1.7     21 Jun 2020 Douglas Volz  Changed to multi-language views for item 
-- |                                    status and UOM.
-- |  1.8     24 Sep 2020 Douglas Volz  Added List Price to report
-- |  1.9     29 Jan 2021 Douglas Volz  Added item master dates and Inactive Items parameter
+=============================================================================+*/</t>
  </si>
  <si>
    <t>CAC ICP PII Item Cost Summary</t>
  </si>
  <si>
    <t>Report to get the Material accounting distributions, in detail, for each item, organization and individual transaction.  Including profit in inventory amounts based on your PII cost type.  With the Show SLA Accounting parameter you can choose to use the Release 12 Subledger Accounting (Create Accounting) account setups by selecting Yes.  And if you have not modified your SLA accounting rules, select No to allow this report to run a bit faster.  Use Show Projects to display or not display the project information (project number, name, task and project cost collection status) and use Show WIP Job to display or not display the WIP job information (WIP class, class type, WIP job, description, assembly number and assembly description).  To get all positive and negative amounts above a threshold value, use the Absolute Transaction Amount parameter.  For Discrete, Flow and Workorderless WIP (but not Repetitive Schedules).  Both Flow and Workorderless show up as the WIP Type "Flow schedule".
Note:  The SQL logic and code for this report is identical to the CAC Material Account Summary report.
Hidden Parameters:
================
Numeric Sign for PII:  allows you to set the sign of the profit in inventory amounts, defaulted to "1" (mandatory).
Parameters:
===========
PII Cost Type:  the profit in inventory cost type you wish to report (mandatory).
PII Sub-Element:  the sub-element or resource for profit in inventory, such as PII or ICP (mandatory).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Projects:  display the project information.  Enter Yes or No, use to limit the report size (mandatory).
Show WIP:  display the WIP job or flow schedule information.  Enter Yes or No, use to limit the report size (mandatory).
Category Set 1:  any item category you wish, typically the Cost or Product Line category set (optional).
Category Set 2:  any item category you wish, typically the Inventory category set (optional).
Accounting Line Type:  enter the accounting purpose or line type to report (optional). 
Transaction Type:  select the material transaction type, such as PO Receipt, Return to Vendor or Account Alias Issue (optional).
Transaction Source Type:  select the material transaction source, such as Purchase Order or Account Alias (optional).
Transaction Id:  enter the transaction number or identifier to report (optional).
Minimum Absolute Amount:  enter the minimum debit or credit to report (optional).  To see all accounting entries, enter zero (0).
Only Zero Amounts:  use this parameter to find entries with a zero transaction amount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2009- 2022 Douglas Volz Consulting, Inc. All rights reserved.
-- |  Permission to use this code is granted provided the original author is
-- |  acknowledged.  No warranties, express or otherwise is included in this permission. 
-- +=============================================================================+
-- | 
-- |  Version Modified on Modified  by   Description
-- |  ======= =========== ============== =========================================
-- |  1.0     06 Nov 2009 Douglas Volz   Initial Coding
-- | 1.30    21 Oct 2022 Douglas Volz    Logic change for Internal RMA order numbers.
-- | 1.31    28 Jul 2025 Douglas Volz    Added Reason Codes and GL &amp; OU Security Profiles.</t>
  </si>
  <si>
    <t>CAC ICP PII Material Account Detail</t>
  </si>
  <si>
    <t>Use this report to eliminate your internal profit in inventory (PII) at month-end.  This report to sums up the material accounting entries for each item, organization, subinventory with the original amount, profit in inventory and net amounts.  With the Show SLA Accounting parameter you can choose to use the Release 12 Subledger Accounting (Create Accounting) account setups by selecting Yes.  And if you have not modified your SLA accounting rules, select No to allow this report to run a bit faster.  Use Show Subinventories to display or not display the subinventory information. Use Show Projects to display or not display the project number and name and use Show WIP Job to display or not display the WIP job information (WIP class, class type, WIP job, description, assembly number and assembly description).  For Discrete, Flow and Workorderless WIP (but not Repetitive Schedules).  Both Flow and Workorderless show up as the WIP Type "Flow schedule".  And for WIP Completions and WIP Completion Returns, this report also has a column "PII Zero Component Quantity" indicating if the underlying components, which have PII, were not issued to the job.  If not, the PII amount for WIP completions, for WIP jobs that were open, may be overstated as the PII is actually still sitting in the onhand inventory.
Note:  there is a hidden parameter, Numeric Sign for PII, which allows you to set the sign of the profit in inventory amounts.  You can specify positive or negative values based on how you enter PII amounts into your PII Cost Type.  Defaulted as positive (+1).
Note:  The SQL logic and code for this report is identical to the CAC Material Account Summary report.
Parameters:
===========
PII Cost Type:  the profit in inventory cost type you wish to report (mandatory).
PII Sub-Element:  the sub-element or resource for profit in inventory, such as PII or ICP (mandatory).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Projects:  display the project number and name.  Enter Yes or No, use to limit the report size (mandatory).
Show WIP:  display the WIP job or flow schedule information (WIP class, class type, WIP job, description, assembly number and assembly description).  Enter Yes or No, use to limit the report size (mandatory).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2009- 2022 Douglas Volz Consulting, Inc.
-- |  All rights reserved.
-- |  Permission to use this code is granted provided the original author is
-- |  acknowledged.  No warranties, express or otherwise is included in this
-- |  permission. 
-- +=============================================================================+
-- | 
-- |  Version Modified on Modified  by   Description
-- |  ======= =========== ============== =========================================
-- |  1.0     06 Nov 2009 Douglas Volz   Initial Coding
-- | 1.27    07 Oct 2022 Douglas Volz    Correction for period name joins for interorg transactions.
-- | 1.28    16 Oct 2022 Douglas Volz    Correction for quantity calculations and PII logic.
-- +=============================================================================+*/</t>
  </si>
  <si>
    <t>CAC ICP PII Material Account Summary</t>
  </si>
  <si>
    <t>For your open and closed WIP jobs use this report to calculate the amount of profit in inventory (PII) in WIP as well as the amount of PII in the WIP variances for the month.
Report your material usage variances for your open and closed WIP jobs.  If the job is open the Report Type column displays "Valuation", as this WIP job and potential material usage variance is still in your WIP inventory balances.  If the job has been closed during the reporting period, the Report Type column displays "Variance", as this WIP job was written off on a WIP Job Close Variance transaction during the reporting period.  You can report prior periods and this report will automatically adjust the assembly completion quantities and component issue quantities to reflect what it was for the specified reported accounting period.  And by specifying the profit in inventory (PII) cost type you can determine how much PII or ICP (intercompany profit) was either remaining on your balance sheet or how much was recorded as part of your WIP job close variances.
Closed, Pending Close, Cancelled, Complete and Complete No Charges WIP job statuses use the completion quantities.  All other WIP jobs use the parameter "Use Completion Quantities". 
Rules:  If component issue quantity = zero, and the WIP job is open, there is no PII as the components are in onhand inventory.  But if the WIP job is closed, PII is calculated in order to correct the WIP variance.
Parameters:
===========
Report Option:  Open jobs, Closed jobs or All jobs.  Use this to limit the size of the report.  (mandatory)
Period Name:  the accounting period you wish to report.  (mandatory)
Cost Type:  defaults to your Costing Method; if the cost type is missing component costs the report will find any missing item costs from your Costing Method cost type.
PII Cost Type:  the profit in inventory cost type you wish to report
PII Sub-Element:  the sub-element or resource for profit in inventory, such as PII or ICP (optional)
Include Scrap Quantities:  for calculating your completion quantities and component quantity requirements, include or exclude any scrapped assembly quantities.  (mandatory)
Include Unreleased Jobs:  include jobs which have not been released and are not started.  (mandatory)
Include Bulk Supply Items:  include Bulk items to match the results from the Oracle Discrete Job Value Report; exclude knowing that Bulk items are usually not issued to the WIP job.  (mandatory)
Use Completion Qtys:  for jobs in a released status, use the completion quantities for the material usage and configuration variance calculations.  Useful if you backflush your materials based on your completion quantities.  Complete, Complete - No Charges, Cancelled, Closed, Pending Close or Failed Close alway use the completion quantities for the variance calculations.  (mandatory)
Category Set 1:  any item category you wish (optional).
Category Set 2:  any item category you wish (optional).
Organization Code:  any inventory organization, defaults to your session's inventory organization (optional).
Class Code:  specific type of WIP class to report (optional).
Job Status:  specific WIP job status (optional).
WIP Job:  specific WIP job (optional).
Assembly Number:  specific assembly number you wish to report (optional)
Component Number:   specific component item you wish to report (optional)
Operating Unit:  specific operating unit (optional)
Ledger:  specific ledger (optional)
/* +=============================================================================+
-- |  Copyright 2009 - 2022 Douglas Volz Consulting, Inc. 
-- |  All rights reserved. 
-- |  Version Modified on Modified  by   Description
-- |  ======= =========== =============== =========================================
-- |  1.26     20 Mar 2022 Douglas Volz   Adjust PII, if the wip job is closed, even if there are no issued quantities, still calculate PII in order to correct the job close WIP variance.
</t>
  </si>
  <si>
    <t>CAC ICP PII WIP Material Usage Variance</t>
  </si>
  <si>
    <t>Report showing the potential standard cost changes for WIP discrete jobs, for the WIP completions, WIP component issues and WIP resource (labor) transactions, including gross costs, profit in inventory (commonly abbreviated as PII or ICP - InterCompany Profit).  (Note that resource overheads / production overheads are not included in this report version.)  The Cost Type (Old) defaults to your Costing Method Cost Type (Average, Standard, etc.); the Currency Conversion Dates default to the latest open or closed accounting period; and the To Currency Code and the Organization Code default from the organization code set for this session.   And if you choose Yes for "Include All WIP Jobs" all WIP jobs will be reported even if there are no valuation changes.
-- =================================================================
Copyright 2022 Douglas Volz Consulting, Inc.
All rights reserved.
Permission to use this code is granted provided the original author is  acknowledged
Original Author: Douglas Volz (doug@volzconsulting.com)
-- =================================================================
Hidden Parameters:
p_sign_pii:  Hidden parameter to set the sign of the profit in inventory amounts.  This parameter determines if PII is normally entered as a positive or negative amount.
Displayed Parameters:
Cost Type (New):  the new cost type to be reported, mandatory
Cost Type (Old):  the old cost type to be reported, mandatory
PII Cost Type (New):  the new PII_Cost_Type you wish to report
PII Cost Type(Old):  the prior or old PII_Cost_Type you wish to report such as PII or ICP (mandatory)
PII Sub-Element:  the sub-element or resource for profit in inventory, such as PII or ICP (mandatory)
Currency Conversion Date (New):  the new currency conversion date, mandatory
Currency Conversion Date (Old):   the old currency conversion date, mandatory
Currency Conversion Type (New):  the desired currency conversion type to use for cost type 1, mandatory
Currency Conversion Type (Old ):  the desired currency conversion type to use for cost type 2, mandatory
To Currency Code:  the currency you are converting into
Category Set 1:  the first item category set to report, typically the Cost or Product Line Category_Set
Category Set 2:  the second item category set to report, typically the Inventory Category_Set
All WIP Jobs:  enter No to only report WIP jobs with valuation changes, enter Yes to report all WIP jobs.
Org Code:  specific inventory organization you wish to report (optional)
Operating Unit:  operating unit you wish to report, leave blank for all operating units (optional) 
Ledger:  general ledger you wish to report, leave blank for all ledgers (optional)
-- |  Version Modified on  Modified  by   Description
-- |  ======= =========== ============== =========================================
-- |      1.6 08 Jun 2022 Douglas Volz   Create PII version based on WIP Pending Cost Adjust Rept.
</t>
  </si>
  <si>
    <t>CAC ICP PII WIP Pending Cost Adjustment</t>
  </si>
  <si>
    <t>Report to compare the Frozen or Pending Costs against the PII item costs.  If you enter a Period Name this report also shows the stored month-end from the period end snapshot (snapshot that is created when you close the inventory periods).  If you leave the Period Name blank or null you will report the real-time onhand quantities.  Also note that this report excludes inactive items.
Note:  there is a hidden parameter, Numeric Sign for PII, which allows you to set the sign of the profit in inventory amounts.  You can specify positive or negative values based on how you enter PII amounts into your PII Cost Type.  Defaulted as positive (+1).
Parameters:
==========
Cost Type:  defaults to your Costing Method; if the cost type is missing component costs the report will find any missing item costs from your Costing Method cost type.
PII Cost Type:  the profit in inventory cost type you wish to report
PII Sub-Element:  the sub-element or resource for profit in inventory, such as PII or ICP (optional)
Period Name (Closed):  Accounting period you wish to report for the onhand quantities at month-end,  If you leave this value blank or null you get the real-time onhand quantities.
Category Set 1:  any item category you wish, typically the Product or Product Line category set (optional).
Category Set 2:  any item category you wish, typically the Cost category set (optional).
Organization Code:  enter the specific inventory organization(s) you wish to report (optional).
Operating Unit:  enter the specific operating unit(s) you wish to report (optional).
Ledger:  enter the specific ledger(s) you wish to report (optional).
/* +=============================================================================+
-- |  Copyright 2009 - 2022 Douglas Volz Consulting, Inc.
-- |  All rights reserved.
-- |  Permission to use this code is granted provided the original author is
-- |  acknowledged. No warranties, express or otherwise is included in this
-- |  permission.
-- +=============================================================================+
-- | Version Modified on Modified by Description
-- | ======= =========== =====================================================
-- | 1.0     29 Sep 2009 Douglas Volz   Initial Coding
-- | 1.4     01 May 2019 Douglas Volz   Period name is now optional, if left null
-- |                                    the real-time quantities are reported.
-- | 1.5     27 Jan 2020 Douglas Volz   Added Org Code and Operating Unit parameters.
-- | 1.6     26 Feb 2022 Douglas Volz   Changed to multi-language views for items, 
-- |                                    item status and UOM.  Added List Price, 
-- |                                    Market Price and Currency Code to report. 
-- |                                    Exclude items with a status of Inactive.
-- | 1.7     26 Sep 2022 Douglas Volz   Performance improvements and removed group by.
-- +=============================================================================+*/</t>
  </si>
  <si>
    <t>CAC ICP PII vs. Item Costs</t>
  </si>
  <si>
    <t>Report to show items which are set to roll up even though these items have an inactive status.  The Cost Rollup uses the Based on Rollup Flag to control if an item is rolled up, as opposed to the item status.
Parameters:
===========
Cost Type:  enter the cost type to report (mandatory).  Defaults to your Costing Method cost type.
Inactive Item Status:  enter the item statuses which should not be rolled up (mandatory).  Defaults to 'Inactive'.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xxx_inactive_items_set_to_rollup_rept.sql
-- |
-- |  Version Modified on  Modified  by   Description
-- |  ======= =========== ============== =========================================
-- |      1.0 15 Nov 2023 Douglas Volz   Initial version
-- |      1.1 05 Dec 2023 Douglas Volz   Added G/L and Operating Unit security restrictions.
-- +=============================================================================+*/</t>
  </si>
  <si>
    <t>CAC Inactive Items Set to Roll Up</t>
  </si>
  <si>
    <t>Report to show accounts used for the intercompany parameters and relationships across operating units.
/* +=============================================================================+
-- |  Copyright 2018 - 2020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xxx_interco_parameters_rept.sql
-- |
-- |  Parameters:
-- |  none
-- |
-- |  Description:
-- |  Report to show accounts used for the intercompany parameters and relationships
-- |  across operating units.
-- |
-- |  Version Modified on Modified  by   Description
-- |  ======= =========== ============== =========================================
-- |  1.0     16 Oct 2018 Douglas Volz   Initial Coding, based on mtl_intercompany_parameters_v
-- |  1.1      7 Mar 2020 Douglas Volz   Add Advanced Accounting Option based on view
-- |                                     mtl_transaction_flows_v.
-- |  1.2     27 Apr 2020 Douglas Volz   Changed to multi-language views for the
-- |                                     inventory orgs and operating units.
-- +=============================================================================+*/</t>
  </si>
  <si>
    <t>CAC Intercompany Relationship Setup</t>
  </si>
  <si>
    <t>Report to show the intercompany sales order (SO) price list information, including the item number, price list name and related information.  Price list parameter list of values are from the Intercompany Relationship Setups (from Oracle Inventory), per the price lists associated with the internal customers.
/* +=============================================================================+
-- |  Copyright 2010 - 2022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xxx_so_price_list_rept.sql
-- |
-- |  Parameters:
-- |  p_price_effective_date -- Date the sales order list prices are effective, mandatory.
-- |  p_price_list           -- Specific intercompany price list name to report
-- |  p_item_number          -- Specific item number you wish to report, optional.
-- |  p_category_set1        -- The first item category set to report, typically the
-- |                            Cost or Product Line Category Set
-- |  p_category_set2        -- The second item category set to report, typically the
-- |                            Inventory Category Set
-- | 
-- |  Description:
-- |  Report to show the SO price list information, including the item number, price
-- |  list name and related information.
-- | 
-- |  Version Modified on  Modified  by   Description
-- |  ======= =========== ============== =========================================
-- |      1.0 19 Sep 2010 Douglas Volz   Created initial Report based on qp_price_list_lines_v
-- |      1.1 15 Dec 2010 Douglas Volz   Cleaned up report for BO Repository
-- |      1.2 22 Dec 2010 Douglas Volz   Fix for the Price End Date logic, change
-- |                                     sysdate to '&amp;p_price_effective_date' to
-- |      1.3 01 Dec 2014 Douglas Volz   Add Item Type column
-- |      1.4 15 Oct 2018 Douglas Volz   Get price list Ids based on intercompany
-- |                                     relationships, as opposed to hard-coding
-- |      1.5 16 Oct 2018 Douglas Volz   And get prices from Customer default price
-- |                                     list from hz_cust_accounts
-- |      1.6 20 Nov 2018 Douglas Volz   Get Item Type from fnd_common_lookups as
-- |                                     fnd_lookup_values as a duplicate 'KIT'
-- |      1.7 11 Dec 2018 Douglas Volz   Avoid using the qp_price_list_pvt package,
-- |                                     to see if this is faster.  Use the query
-- |                                     to finding the price list headers as the
-- |                                     driving query or table, including the hint
-- |                                     to make the price list header the driving table
-- |      1.8 17 Jun 2019 Douglas Volz   Replace Oracle function 
-- |                                     apps.qp_price_list_pvt.get_product_uom_code
-- |                                     with "qpa.product_uom_code".
-- |      1.9 18 Sep 2019 Douglas Volz   Added item status column and item categories
-- |     1.10 09 Jul 2022 Douglas Volz   Changed back to Oracle QP price packages, to
-- |                                     get price list information based on both
-- |                                     categoryor item-specific price lists.
-- +=============================================================================+*/</t>
  </si>
  <si>
    <t>CAC Intercompany SO Price List</t>
  </si>
  <si>
    <t>Report to show the internal SO price lists, source org item costs and compare against the "To Org" item costs and PII (profit in inventory) amounts.  This report is used to ensure the profit in inventory (PII) cost model is working correctly.
Parameters:
===========
Price Effective Date: the date the sales order list prices are effective (mandatory).
Currency Conversion Date:  the exchange rate conversion date to use to convert the sales price to the same currency as the item cost (mandatory).
Currency Conversion Type:  the desired currency conversion type to use to convert the sales price to the same currency as the item cost (mandatory).
PII Cost Type:  the profit in inventory cost type you wish to report (mandatory).
PII Sub-Element:  the sub-element or resource for profit in inventory, such as PII or ICP (mandatory).
Assignment Set:  the set of sourcing rules to use with calculating the PII item costs (mandatory).
Cost Type:  the cost type to use for the item costs, such as Frozen or Pending (mandatory).
Category Set:  any item category you wish, typically the Cost or Product Line category set (optional).
Item Number:  enter the specific item numbers(s) you wish to report (optional).
Operating Unit:  enter the specific operating unit(s) you wish to report (optional).
To Org Code:  enter the specific To Org you wish to report (optional).
To Operating Unit:  enter the specific operating unit(s) you wish to report (optional).
To Org Ledger:  enter the specific "To Org" ledger(s) you wish to report (optional).
/* +=============================================================================+
-- |  Copyright 2010 - 2024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xxx_so_price_cost_pii_rept.sql
-- | 
-- |  Version Modified on  Modified  by   Description
-- |  ======= =========== =========================================
-- |     1.0  26 Nov 2010 Douglas Volz    Created initial Report
-- |    1.18 13 Dec 2018 Douglas Volz     Add Source Org OU to the InterCo_OUs inline table, to ensure 
-- |                                      uniqueness.  Add Source Org joins for Src_Org item costs.
-- |                                      Removed Release 11i edits.  Replaced gl.name with gl.short_name.
-- |    1.19 17 Jun 2019 Douglas Volz     Replace Oracle function apps.qp_price_list_pvt.get_product_uom_code
-- |                                      with "and ucr.uom_code = qpa.product_uom_code".  Comment out Source
-- |                                      and To Org Added Costs columns.
-- |    1.20 21 Aug 2019 Douglas Volz     Removed client-specific SQL logic.
-- |    1.21 25 Oct 2019 Douglas Volz     Correction to p_price_effective_date parameter
-- |    1.22 17 Jul 2022 Douglas Volz     Changes for multi-language lookup values.  Changed
-- |                                      back to Oracle QP price packages, to get price list
-- |                                      information based on both category or item-specific price lists.
-- |    1.23 28 Nov 2023 Andy Haack       Added G/L security for the "To Org" G/L and removed tabs.
-- |    1.24 06 Feb 2024 Douglas Volz     Fix for G/L Daily Rates and add "To Org" inventory security.
-- |    1.25 25 Jun 2024 Douglas Volz     Reinstall missing parameters, Item Number and To Operating Unit.
-- +=============================================================================+*/</t>
  </si>
  <si>
    <t>CAC Intercompany SO Price List vs. Item Cost Comparison</t>
  </si>
  <si>
    <t>Report to compare the transaction item cost from the selling internal org to the invoice sales price the selling internal organization is charging the internal receiving organization. 
/* +=============================================================================+
-- |  Copyright 2017 - 2022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xxx_verify_so_price_vs_cost_txn.sql
-- |
-- |  Parameters:
-- |  p_trx_date_from           -- starting shipping transaction date, mandatory
-- |  p_trx_date_to             -- ending shipping transaction date, mandatory
-- |
-- |  Description:
-- |  Report to compare the transaction item cost from the selling internal org
-- |  to the invoice sales price the selling internal organization is charging the
-- |  receiving organization. 
-- | 
-- |  Version Modified on Modified  by   Description
-- |  ======= =========== ============== =========================================
-- |  1.0     01 May 2017 Douglas Volz   Initial Coding
-- |  1.1     03 Sep 2019 Douglas Volz   Add Ledger, Operating Unit, Item Type, Status
-- |                                     and item categories for cost and inventory.
-- |  1.2     27 Jan 2020 Douglas Volz   Added Ledger, Operating Unit and Org Code 
-- |                                     parameters.
-- |  1.3     09 Jul 2022 Douglas Volz   Changes for multi-language lookup values.
-- +=============================================================================+*/
</t>
  </si>
  <si>
    <t>CAC Intercompany SO Shipping Transaction vs. Invoice Price</t>
  </si>
  <si>
    <t>Use this report to view your transactions that are pending or have errors in the Oracle interface tables.  Across both Financial and Supply Chain Applications.  This includes interfaces that would prevent closing the inventory accounting period, as suggested by the report titles, Resolution Required and Resolution Recommended.  Similar to the Inventory Account Periods Close form (checking open receipts, pending shipments, failed inventory, WIP, etc.).
Notes:
1)  Supply Chain queries check for the period close timezone of the legal entity, just like the Inventory Account Periods Close form and the Blitz INV Period Close Pending Transactions report.  Period count queries sourced from procedure CST_AccountingPeriod_PUB.Get_PendingTcount (CSTPAPEB.pls 120.18.12020000.8)
2)  The Financial interfaces all show a priority of "Resolution Recommended", as having entries in these interface tables do not prevent you from closing your books.  However, just like Supply Chain, best practice would be to process all unprocessed and/or erred out entries in these interfaces, before closing the accounting period.
Specific Functional Areas and Interface Reports include:
Accounts Payables
   AP_Invoices_Interface
   AP_Invoice_Lines_Interface
Accounts Receivables
   RA_Interface_Lines_All
   RA_Interface_Errors_All
Cash Management
   CE_Header_Interface_Errors
Cost Management
   Uncosted Material - MTL_Material_Transactions
   Uncosted - WSM_Split_Merge_Transactions
   Pending WIP Costing - WIP_Cost_Txn_Interface Report
General Ledger
   GL_Interface
Inventory
   Unprocessed Material - MTL_Material_Transactions_Temp
   Unprocessed Locked Material - MTL_Material_Transactions_Temp
   Pending Material - MTL_Transactions_Interface
Oracle Landed Cost Management
   Pending Landed Cost Management (INL) Interface - CST_Lc_Adj_Interface Interface
Project
   PA_Transaction_Interface_All
Purchasing
   PO_Requisitions_Interface_All
Purchasing (showing Receiving as the reported Functional Area)
   Pending Expense Receiving - RCV_Transactions_Interface
   Pending Inventory and OSP Receiving - RCV_Transactions_Interface
   Pending Intransit Receiving - RCV_Transactions_Interface
   Pending RMA Receiving - RCV_Transactions_Interface
Shipping
   Shipping - WSH_Delivery_Details
Warehouse Management System (WSM)
   Pending WSM Interface Transactions - WSM_Split_Merge_Txn_Interface
   Pending WSM Lot Interface Transactions - WSM_Lot_Split_Merges_Interface
Work in Process (Manufacturing)
   Pending Shop Floor Move Transactions - WIP_Move_Txn_Interface
Parameters
==========
Functional Area:  Cash Management, Cost Management, General Ledger, Inventory, Payables, Work in Process (Manufacturing), Oracle Landed Cost Management, Projects, Purchasing, Receivables, Shipping, Warehouse Management System (WSM) (optional).
Period Name:  Enter the desired period(s) to report (optional)
Organization Code:  specific inventory organization to report (optional)
Operating Unit:  specific operating unit (optional)
Ledger:  specific ledger (optional)
Note:  To avoid excessive run times., one of the above parameters must be entered in order to run this report.
-- |  Version Modified  Modified  by   Description
-- | ======== ========= =============== ================================================
-- |     1.0  1995      Initial Design  Originally based on sql from a project in 1995.
-- |     1.1  31-Jan-08 Douglas Volz    Added Operating Unit column to summary queries.
-- |     1.42 15-Jul-25 Douglas Volz    For Uncosted Transactions, checked for Process MFG
-- |                                    and added Ledger Security Controls for GL_Interface.
-- |     1.43 19-Jul-25 Douglas Volz    Changed LCM query to use the LCM short name 'INL' instead of 'CST'.
-- |     1.44 24-Aug-25 Douglas Volz    Changed Pending Material from Resolution Required to Recommended.
-- +=============================================================================+*/</t>
  </si>
  <si>
    <t>CAC Interface Error Summary</t>
  </si>
  <si>
    <t>Report to display the internal sales orders/requisition shipments with COGS, margin, inter-company profit and other useful information.  This report separately gets the COGS and revenue entries for the entered date range. If the COGS information is not reported the sales order line was not shipped in the entered date range.  If the revenue nformation is not reported the sales order line was not billed in the entered date range.
/* +=============================================================================+
-- |  Copyright 2010 - 2020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Parameters:
-- |  p_from_org_ledger         -- general ledger you wish to report, for the From Organization, optional
-- |  p_to_org_ledger           -- general ledger you wish to report, for the To Organization, optional
-- |  p_from_org_code           -- the source or from inventory organization you wish to report, optional
-- |  p_trx_date_from           -- starting transaction date for internal shipment transactions, mandatory
-- |  p_trx_date_to             -- ending transaction date for internal shipment transactions, mandatory
-- |  p_pii_cost_type           -- the profit in inventory costs you wish to report
-- |  p_pii_resource_code       -- the sub-element or resource for profit in inventory,
-- |                               such as PII or ICP 
-- |  p_curr_conv_date          -- currency conversion date
-- |  p_std_cost_curr_conv_type -- currency conversion type used to set your standard costs and
-- |                               transfer prices
-- | 
-- |  Version Modified on  Modified  by   Description
-- |  ======= =========== =========================================
-- |  Version Modified on Modified  by   Description
-- |  ======= =========== ============== =========================================
-- |  1.0     12 Nov 2009 Douglas Volz   Initial Coding based on XXX_IRO_COGS.sql
-- |  1.27     25 May 2020 Douglas Volz  Changed to multi-language views for organizations, operating units,
-- |                                     categories and units of measure.  Remove RA Batches code logic.
-- |                                     Remove sections for custom IR/ISO transactions.
-- +=============================================================================+*/
-- ======================================================== 
-- Program Outline
-- ======================================================== 
-- Section I:   Output the Report Columns for the Internal Shipment Entries
-- Section II:  Get the currency conversion rates, based on the currency conversion
--              type and currency conversion date parameters
-- Section III: Condense the 2 union all statements into one line
--              for each Transaction Id.  Also get the PII item costs.
-- Section IV:  Get the material, payables and revenue transactions
--              which represent the Internal Order activity.
--              Assume IR/ISO shipments may or may not use custom billing
--              Section IV has 2 union all reports as follows:
--	 Report 1:  Get IR/ISO COGS and Sales for Intransit Shipments
--	            where title passes upon shipment (FOB = 1, Shipment)
--	 Report 2:  Get IR/ISO COGS and Sales for IR/ISO Intransit Receipts
--	            where title passes upon receipt (FOB_Point = 2, Receipt)
</t>
  </si>
  <si>
    <t>CAC Internal Order Shipment Margin</t>
  </si>
  <si>
    <t>Report to show intransit values across all ledgers for current onhand balances and current costing method costs.  This is a "real-time" report, showing the quantities and values at the time you run this report.  (Used the cst_intransit_value_view to simplify the design.)
/* +=============================================================================+
-- |  Copyright 2009-20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xxx_intransit_value_report.sql
-- |
-- |  Parameters:
-- |  p_org_code            -- Specific inventory organization you wish to report (optional)
-- |  p_operating_unit      -- Operating Unit you wish to report, leave blank for all
-- |                           operating units (optional) 
-- |  p_ledger              -- general ledger you wish to report, leave blank for all
-- |                           ledgers (optional)
-- |  p_category_set1       -- The first item category set to report, typically the
-- |                           Cost or Product Line Category Set
-- |  p_category_set2       -- The second item category set to report, typically the
-- |                           Inventory Category Set
-- | 
-- |  Description:
-- |  Report to show intransit values across all ledgers, for current onhand
-- |  balances and current costing method costs.  This is a "real-time" report,
-- |  showing the quantities and values at the time you run this report.
-- |  (Note:  Used the cst_intransit_value_view to simplify the design.)
-- | 
-- |  Version Modified on Modified  by   Description
-- |  ======= =========== ============== =========================================
-- |  1.0     18 Nov 2008 Douglas Volz   Initial Coding
-- |  1.1     10 Dec 2009 Douglas Volz   Modified for Celgene
-- |  1.2     04 Jan 2010 Douglas Volz   Added intransit value accounts
-- |  1.3     03 Mar 2010 Douglas Volz   Set the company account number based on
-- |                                     the item's cost of goods sold account
-- |  1.4     04 Mar 2010 Douglas Volz   Screen out invalid Intransit balances from
-- |                                     Dec 2009 transactions for Ledger CHE_EUR_PL.
-- |                                     These intransit balances were written-off
-- |                                     in the G/L in December 2009.  Was not able
-- |                                     to get these entries fixed in Oracle.
-- |  1.10    23 Apr 2020 Douglas Volz   Changed to multi-language views for the item
-- |                                     master, item categories and operating units.
-- |  1.11    23 Aug 2020 Douglas Volz   Modified to get intransit_owning_org_id directly
-- |                                     from mtl_supply; if you change the shipping 
-- |                                     network FOB Point and you can no longer get
-- |                                     the FOB Point from cst_intransit_value_view.
-- |  1.12    27 Nov 2024 Eric Clegg. Added Minimum Absolute Intransit Quantity parameter
-- +=============================================================================+*/</t>
  </si>
  <si>
    <t>CAC Intransit Value (Real-Time)</t>
  </si>
  <si>
    <t>Report to show accounts assigned for inventory account aliases
/* +=============================================================================+
-- |  Copyright 2011 - 2020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xxx_acct_alias_setup_rept.sql
-- |
-- |  Parameters:
-- |  p_ledger		-- Ledger you wish to report, enter a null for all
-- |                       ledgers. (optional)
-- | 
-- |  Description:
-- |  Report to show accounts used for account aliases
-- | 
-- |  Version Modified on Modified  by   Description
-- |  ======= =========== ============== =========================================
-- |  1.0     03 Feb 2011 Douglas Volz   Initial Coding
-- |  1.1     28 Mar 2011 Douglas Volz   Added Ledger parameter, effective date
-- |					 and disable date
-- |  1.2     07 Oct 2015 Douglas Volz   Removed prior client's org restrictions.
-- |  1.3     27 Apr 2020 Douglas Volz   Changed to multi-language views for the 
-- |                                     inventory orgs and operating units.</t>
  </si>
  <si>
    <t>CAC Inventory Account Alias Setup</t>
  </si>
  <si>
    <t>Report to show Valuation, Receiving, Profit and Loss and Inter-Org accounts as setup in the inventory organization parameters.
/* +=============================================================================+
-- |  Copyright 2009 - 2020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xxx_inv_accts_setup_rept.sql
-- |
-- |  Parameters:
-- |  p_account_group    -- The group of inventory organization parameter accounts
-- |                        you wish to report
-- |  p_org_code         -- Specific inventory organization you wish to report (optional)
-- |  p_operating_unit   -- Operating Unit you wish to report, leave blank for all
-- |                        operating units (optional) 
-- |  p_ledger           -- general ledger you wish to report, leave blank for all
-- |                        ledgers (optional)
-- |  Description:
-- |  Report to show Valuation, Receiving, Profit and Loss and Inter-Org accounts
-- |  as setup in the inventory organization parameters
-- | 
-- |  Version Modified on Modified  by   Description
-- |  ======= =========== ============== =========================================
-- |  1.11    06 Mar 2019 Douglas Volz   Added Cost Variance Account, used with Average, FIFO, LIFO
-- |  1.12    14 Mar 2019 Douglas Volz   Added Expense A/P Accrual Account, Retroactive Price
-- |                                     Adjustment Account, Receiving Clearing Account.
-- |  1.13    12 Jan 2020 Douglas Volz   Added Org Code and Operating Unit parameters,
-- |                                     an outer join to gcc in case of invalid accounts
-- |                                     and change to gl.short_name.
-- |  1.14    28 Feb 2020 Douglas Volz   Changed to multi-language views for the item
-- |                                     master, inventory orgs and operating units.
-- +=============================================================================+*/</t>
  </si>
  <si>
    <t>CAC Inventory Accounts Setup</t>
  </si>
  <si>
    <t>Report showing amount of inventory at the end of the month for Process Manufacturing (OPM) inventory organizations, for both onhand and intransit inventory.  If you enter a cost type this report uses the item costs from the cost type; if you leave the cost type blank it uses the item costs from the month-end snapshot.  In either case this report uses the month-end quantities, based on the entered period name, calendar code and period code.  As these quantities come from the month-end snapshot, this also also allows you to specify the lot number and locator (row/rack/bin) for your onhand quantities. And as a default valuation account, this report uses the Material Account from your subinventory setups and your Intransit Account from your Shipping Network setups.
Note:  OPM intransit balances based upon last two years of Intransit Shipments.  As of Release 12.2.13, OPM does not have a month-end snapshot for intransit quantities or balances.
General Parameters:
===================
Period Name (Closed):  the closed inventory accounting period you wish to report (mandatory).
Cost Type:  enter a Cost Type to value the quantities using the Cost Type item costs; or, if Cost Type is not entered the report will use the stored month-end snapshot values (optional).
Show OPM Lot Number:  choose Yes to show the OPM lot number for the inventory quantities.  Otherwise choose No (mandatory).
Show OPM Locator:  choose Yes to show the OPM locator and Lot Expiration Date for the inventory quantities.  Otherwise choose No (mandatory).
OPM Calendar Code:  Choose the OPM Calendar Code which corresponds to the inventory accounting period you wish to report (mandatory).
OPM Period Code:  enter the OPM Period Code related to the inventory accounting period and OPM Calendar Code you wish to report (mandatory).
Category Set 1:  the first item category set to report, typically the Cost or Product Line Category Set (optional).
Category Set 2:  The second item category set to report, typically the Inventory Category Set (optional).
Item Number:  specific buy or make item you wish to report (optional).
Subinventory:  specific area within the warehouse or inventory area you wish to report (optional).
Organization Code:  any inventory organization, defaults to your session's inventory organization (optional).
Operating Unit:  specific operating unit (optional).
Ledger:  specific ledger (optional).
/* +=============================================================================+
-- | Copyright 2024 Douglas Volz Consulting, Inc.
-- |  All rights reserved.
-- |  Permission to use this code is granted provided the original author is
-- |  acknowledged.  No warranties, express or otherwise is included in this permission.                                                                           
-- +=============================================================================+
-- |
-- | Version Modified on Modified by Description
-- | ======= =========== ============== =========================================
-- | 1.0     10 May 2024 Douglas Volz Initial Coding.
-- | 1.1     30 Jun 2024 Douglas Volz Cumulative fixes for OPM intransit balances and accounts.
-- | 1.2     02 Aug 2024 Douglas Volz Add OPM Cost Organizations to get correct item costs and qtys.
-- | 1.3     30 Sep 2024 Douglas Volz Add Lot expiration date to report.
-- +=============================================================================+*/
</t>
  </si>
  <si>
    <t>CAC Inventory Lot and Locator OPM Value (Period-End)</t>
  </si>
  <si>
    <t>Report to show inventory org names, summary org controls, org hierarchy, operating unit and Ledger, and whether or not the Org should be rolled up for costing, based on the existence of BOMs, routings or org-level sourcing rules.
Note:  this report automatically looks for hierarchies which might be used with the Open Period Control and the Close Period Control Oracle programs.  Looking for the translated values of "Close", "Open" and "Period" in the Hierarchy Name.
Parameters:
==========
Assignment Set:  choose the Assignment Set to report for sourcing rules.  You may leave this value null and the report still works (optional).
Hierarchy Name:  select the organization hierarchy used to open and close your inventory organizations (optional).  If you leave this field blank the report automatically looks for hierarchies which might be used with the Open Period Control and the Close Period Control Oracle programs.  Looking for the translated values of "Close", "Open" and "Period" in the Hierarchy Name.
Organization Code:  enter the specific inventory organization(s) you wish to report (optional).
Operating Unit:  enter the specific operating unit(s) you wish to report (optional).
Ledger:  enter the specific ledger(s) you wish to report (optional).
/* +=============================================================================+
-- | Copyright 2010-2025 Douglas Volz Consulting, Inc.
-- | All rights reserved.
-- | Permission to use this code is granted provided the original author is
-- | acknowledged. No warranties, express or otherwise is included in this permission.
-- +=============================================================================+
-- |
-- | Version Modified on Modified by Description
-- | ======= =========== ============== =========================================
-- | 1.0     14 Apr 2010 Douglas Volz Initial Coding
-- | 1.19    09 Jul 2019 Douglas Volz Changed Org Hierarchy logic to look only for Hierarchy 
-- |                                  Names with "Open" or "Close" or "Period" in it.
-- |                                  For the 2nd union all, added an Outer Join to OU:
-- |                                  and haou2.organization_id (+) = to_number(hoi.org_information3)
-- |                                  ... found an inventory org in Vision with no OU
-- | 1.20    16 Jan 2020 Douglas Volz Added Ledger, Operating Unit and Org Code parameters.
-- | 1.21    02 Feb 2020 Douglas Volz Added max material and WIP transaction dates and removed
-- |                                  flv.source_lang joins, not needed.
-- | 1.22    08 Mar 2020 Douglas Volz Checking for a routing for the parent org
-- | 1.23    07 Apr 2020 Douglas Volz Consolidated two (union all) statements into one.
-- | 1.24    27 Apr 2020 Douglas Volz Changed to multi-language views for the
-- |                                  inventory orgs and operating units.
-- | 1.25    29 Jun 2022 Douglas Volz Fixed indicator for category accounts.
-- | 1.26    09 Sep 2022 Douglas Volz Added indicator for PAC Enabled.
-- | 1.27    13 Jul 2023 Douglas Volz Added condition to avoid SQL error, single-row subquery
-- |                                  returns more than one row. 
-- | 1.28    01 Nov 2024 Douglas Volz Added BOM Parameters, Use Phantom Routing column.
-- | 1.29    01 Jan 2025 Douglas Volz Added WIP Parameters, Record Scrap column.
-- | 1.30    15 Feb 2025 Douglas Volz Added Oracle Release Number.
+=============================================================================+*/
</t>
  </si>
  <si>
    <t>CAC Inventory Organization Summary</t>
  </si>
  <si>
    <t>Report to show any differences in the period end snapshot that is created when you close the inventory periods.  This represents any differences between the cumulative inventory accounting entries and the onhand valuation of the subinventories and intransit stock locations.
Parameters:
===========
Period Name (Closed):  the closed inventory accounting period you wish to report (mandatory).
Minimum Value Difference:  the minimum difference to report, defaulted to a value of one.  To see all differences enter a value of zero (mandatory).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2006-2024 Douglas Volz Consulting, Inc.
-- |  Permission to use this code is granted provided the original author is
-- |  acknowledged.  No warranties, express or otherwise is included in this permission.
-- +=============================================================================+
-- |
-- |  Original Author: Douglas Volz (doug@volzconsulting.com)
-- |
-- |  Program Name:  xxx_inv_snapshot_diff_rept.sql
-- |
-- |  Version Modified on Modified  by   Description
-- |  ======= =========== ============== =========================================
-- |  1.0     02 APR 2006 Douglas Volz   Initial Coding
-- |  1.14    19 Nov 2015 Douglas Volz   Commented out the Cost Group information.  Not Consistent.
-- |  1.15    17 Jul 2018 Douglas Volz   Now report G/L short name.
-- |  1.16    06 Jan 2020 Douglas Volz   Added Org Code and Operating Unit parameters.
-- |  1.17    30 Apr 2020 Douglas Volz   Changed to multi-language views for the item
-- |                                     master, inventory orgs and operating units.
-- |  1.18    18 May 2020 Douglas Volz   Added language for item status.
-- |  1.19    14 Jun 2024 Douglas Volz   Remove tabs, reinstall parameters and org access controls.
-- +=============================================================================+*/
</t>
  </si>
  <si>
    <t>CAC Inventory Out-of-Balance</t>
  </si>
  <si>
    <t>Report showing the potential standard cost changes for onhand and intransit inventory value which you own.  If you enter a period name this report uses the quantities from the month-end snapshot; if you leave the period name blank it uses the real-time quantities.  The Cost Type (Old) defaults to your Costing Method Cost Type (Average, Standard, etc.); the Currency Conversion Dates default to the latest open or closed accounting period; and the To Currency Code and the Organization Code default from the organization code set for this session.
If using this report for reporting after the standard cost update has run this report requires both the before and after cost types available for reporting purposes.  Using the item cost copy please save your Frozen costs before running the standard cost update.
Parameters:
===========
Period Name (Closed):  to use the month-end quantities, choose a closed inventory accounting period (optional).
Cost Type (New):  enter the Cost Type that has the revised or new item costs (mandatory).
Cost Type (Old):  enter the Cost Type that has the existing or current item costs, defaults to the Frozen Cost Type (mandatory).
Currency Conversion Date (New):  enter the currency conversion date to use for the new item costs (mandatory).
Currency Conversion Type (New):  enter the currency conversion type to use for the new item costs, defaults to Corporate (mandatory).
Currency Conversion Date (Old):  enter the currency conversion date to use for the existing item costs (mandatory).
Currency Conversion Type (Old):  enter the currency conversion type to use for the existing item costs, defaults to Corporate (mandatory).
To Currency Code:  enter the currency code used to translate the item costs and inventory values into.
Category Set 1:  the first item category set to report, typically the Cost or Product Line Category Set (optional).
Category Set 2:  The second item category set to report, typically the Inventory Category Set (optional).
Only Items in New Cost Type:  enter Yes to only report the items in the New Cost Type.  Specify No if you want to use this report to reconcile overall inventory value (mandatory).
Include Items With No Quantities:  enter Yes to report items that do not have onhand quantities (mandatory).
Include Zero Item Cost Differences:  enter Yes to include items with a zero item cost difference, defaults to a value of No (mandatory).
Item Number:  specific buy or make item you wish to report (optional).
Organization Code:  enter the inventory organization(s) you wish to report, defaults to your session's inventory organization (optional).
Operating Unit:  enter the specific operating unit(s) you wish to report (optional).
Ledger:  enter the specific ledger(s) you wish to report (optional).
/* +=============================================================================+
-- |  Copyright 2008-2024 Douglas Volz Consulting, Inc
-- |  All rights reserved
-- |  Permission to use this code is granted provided the original author is
-- |  acknowledged.  No warranties, express or otherwise is included in this permission.
-- |
-- |  Original Author: Douglas Volz (doug@volzconsulting.com)
-- |
-- |  Program Name:  xxx_std_cost_pending_adj_rept.sql
-- | 
-- |  Version Modified on  Modified  by   Description
-- |  ======= =========== ============== =========================================
-- |      1.0 21 Nov 2010 Douglas Volz   Created initial Report for prior client
-- |     1.12 23 Sep 2023 Douglas Volz   Add parameter to not include zero item cost differences,
-- |                                     removed tabs and added org access controls.
-- |     1.13 22 Oct 2023 Andy Haack     Fix for G/L Daily Currency Rates
-- |     1.14 07 Feb 2024 Douglas Volz   Add item master and costing lot sizes, use default controls, 
-- |                                     based on rollup and shrinkage rate columns
-- +=============================================================================+*/
</t>
  </si>
  <si>
    <t>CAC Inventory Pending Cost Adjustment</t>
  </si>
  <si>
    <t>Report showing the potential standard cost changes for onhand and intransit inventory value which you own.  If you enter a period name this report uses the quantities from the month-end snapshot; if you leave the period name blank it uses the real-time quantities.  The Cost Type (Old) defaults to your Costing Method Cost Type (Average, Standard, etc.); and the To Currency Code and the Organization Code default from the organization code set for this session.  Unlike the CAC Inventory Pending Cost Adjustment report, this version does not display any cost differences due to changes in foreign currency rates (FX).  If you want to see the impact of FX changes, please use the CAC Inventory Pending Cost Adjustment report.
If using this report for reporting after the standard cost update has run this report requires both the before and after cost types available for reporting purposes.  Using the item cost copy please save your Frozen costs before running the standard cost update.
Parameters:
===========
Period Name (Closed):  to use the month-end quantities, choose a closed inventory accounting period (optional).
Cost Type (New):  enter the Cost Type that has the revised or new item costs (mandatory).
Cost Type (Old):  enter the Cost Type that has the existing or current item costs, defaults to the Frozen Cost Type (mandatory).
Category Set 1:  the first item category set to report, typically the Cost or Product Line Category Set (optional).
Category Set 2:  The second item category set to report, typically the Inventory Category Set (optional).
Only Items in New Cost Type:  enter Yes to only report the items in the New Cost Type.  Specify No if you want to use this report to reconcile overall inventory value (mandatory).
Include Items With No Quantities:  enter Yes to report items that do not have onhand quantities (mandatory).
Include Zero Item Cost Differences:  enter Yes to include items with a zero item cost difference (mandatory).
Item Number:  specific buy or make item you wish to report (optional).
Organization Code:  enter the inventory organization(s) you wish to report, defaults to your session's inventory organization (optional).
Operating Unit:  enter the specific operating unit(s) you wish to report (optional).
Ledger:  enter the specific ledger(s) you wish to report (optional).
/* +=============================================================================+
-- |  Copyright 2008-2023 Douglas Volz Consulting, Inc
-- |  All rights reserved
-- |  Permission to use this code is granted provided the original author is
-- |  acknowledged.  No warranties, express or otherwise is included in this permission.
-- |
-- |  Original Author: Douglas Volz (doug@volzconsulting.com)
-- |
-- |  Program Name:  xxx_std_cost_pending_adj_rept.sql
-- | 
-- |  Version Modified on  Modified  by   Description
-- |  ======= =========== ============== =========================================
-- |      1.0 21 Nov 2010 Douglas Volz   Created initial Report for prior client
-- |     1.11 05 Jun 2022 Douglas Volz   Fix for category accounts (valuation accounts) and
-- |                                     added subinventory description.
-- |     1.12 23 Sep 2023 Douglas Volz   Add parameter to not include zero item cost differences,
-- |                                     removed tabs and added org access controls.
-- |     1.13 09 Nov 2023 Douglas Volz   Add item master and costing lot sizes, use default controls, 
-- |                                     based on rollup and shrinkage rate columns
-- |     1.14 04 Dec 2023 Douglas Volz   Added G/L and Operating Unit security restrictions.
-- +=============================================================================+*/
</t>
  </si>
  <si>
    <t>CAC Inventory Pending Cost Adjustment - No Currencies</t>
  </si>
  <si>
    <t>Report to find all inventory accounting periods which are either still open or closed but not summarized.  When you close the inventory accounting period, the Period Close Reconciliation Report creates a very useful month-end summary of your inventory quantities and balances, by item, subinventory or intransit, cost group and inventory organization.  You can use this information to create a efficient month-end inventory value report.
Note:  this report automatically looks for hierarchies which might be used with the Open Period Control and the Close Period Control Oracle programs.  Looking for the translated values of "Close", "Open" and "Period" in the Hierarchy Name.
/* +=============================================================================+
-- | Copyright 2018 - 2020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xxx_inv_periods_not_closed_rept.sql
-- |
-- |  Parameters:
-- |  p_org_hierarchy_name   -- select the organization hierarchy used to open and
-- |                            close your inventory organizations (optional)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to find all inventory accounting periods which are either still open,
-- |  or closed but not summarized.  When you close the inventory accounting period,
-- |  the Period Close Reconciliation Report creates a very useful month-end
-- |  summary of your inventory quantities and balances, by item, subinventory or
-- |  intransit, cost group and inventory organization.  You can use this 
-- |  information to create a efficient month-end inventory value report.
-- | 
-- |  History for xxx_inv_periods_not_closed_rept.sql
-- |
-- |  Version Modified on Modified  by    Description
-- |  ======= =========== =============== =========================================
-- |  1.0     06 Dec 2018 Douglas Volz    Report created based on Period Status Report
-- |  1.1     09 Feb 2020 Douglas Volz    Added Org, Ledger and Operating Unit parameters
-- |  1.2     08 Mar 2020 Douglas Volz    Improvements to finding the Hierarchy Name,
-- |                                      looking for the words Open, Close or Period.
-- |  1.3     27 Apr 2020 Douglas Volz    Changed to multi-language views for the
-- |                                      inventory orgs and operating units.
-- |  1.4     16 Aug 2020 Douglas Volz    Fix for revision 1.2 for Organization Hierarchy.
-- +=============================================================================+*/
</t>
  </si>
  <si>
    <t>CAC Inventory Periods Not Closed or Summarized</t>
  </si>
  <si>
    <t>Report showing amount of inventory at the end of the month.  If you enter a cost type this report uses the item costs from the cost type; if you leave the cost type blank it uses the item costs from the month-end snapshot.  In either case this report uses the month-end quantities, based on the entered period name.  And as these quantities come from the month-end snapshot (created when you close the inventory accounting period) and this snapshot is only by inventory organization, subinventory and item and not split out by cost element, this report only shows the Material Account, based upon your Costing Method.
Note:  if you enter a cost type this report uses the item costs from the cost type; if you leave the cost type blank it uses the item costs from the month-end snapshot.
/* +=============================================================================+
-- | Copyright 2009 - 2022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Parameters:
-- |  p_period_name         -- Accounting period you wish to report for
-- |  p_org_code            -- Specific inventory organization you wish to report (optional)
-- |  p_operating_unit      -- Operating Unit you wish to report, leave blank for all operating units (optional) 
-- |  p_ledger              -- general ledger you wish to report, leave blank for all ledgers (optional)
-- |  p_cost_type           -- Enter a Cost Type to value the quantities using the Cost Type Item Costs; or, if 
-- |                           Cost Type is blank or null the report will use the stored month-end snapshot values
-- |  p_category_set1       -- The first item category set to report, typically the Cost or Product Line Category Set
-- |  p_category_set2       -- The second item category set to report, typically the Inventory Category Set 
-- |  p_item_number         -- The part or item number you wish to report (optional)
-- |  p_subinventory        -- The specific subinventory you wish to report (optional)
-- |
-- | ===================================================================
-- | Version Modified on Modified by Description
-- | ======= =========== ============== =========================================
-- | 1.0     27 Sep 2009 Douglas Volz Initial Coding
-- | 1.1     28 Sep 2009 Douglas Volz Added a sum for the ICP costs from cicd
-- | 1.16    23 Apr 2020 Douglas Volz Changed to multi-language views for the item master,
-- |                                  item categories and operating units.  Used mfg_lookups for "Intransit".
-- | 1.17    05 Mar 2022 Douglas Volz Use With statement for category, subinventory and intransit valuation accounts.
-- |                                  And changed from four union all statements to only two.
-- | 1.18    11 Mar 2022 Douglas Volz Performance improvements for category accounting
-- | 1.19    20 Mar 2022 Douglas Volz Fix for category accounts (valuation accounts) and
-- |                                  added subinventory description.
-- | 1.20    19 Oct 2022 Douglas Volz Fix for valuation accounts, causing duplicate rows.
-- | 1.21    21 Oct 2022 Douglas Volz Fix for detecting Cost Group Accounting.
-- +=============================================================================+*/</t>
  </si>
  <si>
    <t>CAC Inventory and Intransit Value (Period-End)</t>
  </si>
  <si>
    <t>Report showing amount of inventory at the end of the month for both Discrete and Process Manufacturing (OPM) inventory organizations.  If you enter a cost type this report uses the item costs from the cost type; if you leave the cost type blank it uses the item costs from the month-end snapshot.  In either case this report uses the month-end quantities, based on the entered period name, OPM calendar code and OPM period code.  And as these quantities come from the month-end snapshot (created when you close the inventory accounting period or run the GMF Period Close Process) and this snapshot is only by inventory organization, subinventory and item and not split out by cost element, this report only shows the Material Account, based upon your Costing Method.
Notes:  
1)  OPM intransit balances based upon last two years of Intransit Shipments.  As of Release 12.2.13, OPM does not have a month-end snapshot for intransit quantities or balances.
2)  This report assumes you use both OPM and Discrete Manufacturing.  If you only use Discrete Manufacturing, use the CAC Inventory and Intransit Value (Period-End) report instead.
Discrete and OPM Parameters:
============================
Period Name (Closed):  the closed inventory accounting period you wish to report (mandatory).
Cost Type:  enter a Cost Type to value the quantities using the Cost Type item costs; or, if Cost Type is not entered the report will use the stored month-end snapshot values (optional).
OPM Calendar Code:  Choose the OPM Calendar Code which corresponds to the inventory accounting period you wish to report (mandatory).
OPM Period Code:  enter the OPM Period Code related to the inventory accounting period and OPM Calendar Code you wish to report (mandatory).
Category Set 1:  the first item category set to report, typically the Cost or Product Line Category Set (optional).
Category Set 2:  The second item category set to report, typically the Inventory Category Set (optional).
Item Number:  specific buy or make item you wish to report (optional).
Subinventory:  specific area within the warehouse or inventory area you wish to report (optional).
Organization Code:  any inventory organization, defaults to your session's inventory organization (optional).
Operating Unit:  specific operating unit (optional).
Ledger:  specific ledger (optional).
/* +=============================================================================+
-- | Copyright 2009 - 2024 Douglas Volz Consulting, Inc.
-- |  All rights reserved.
-- |  Permission to use this code is granted provided the original author is
-- |  acknowledged.  No warranties, express or otherwise is included in this permission.                                                                           
-- +=============================================================================+
-- | 1.0     27 Sep 2009 Douglas Volz Initial Coding
-- | 1.29    04 Jun 2024 Douglas Volz Fix SQL error for Intransit code section, due to duplicate transactions in GXEH
-- |                                  (ORA-01427: single-row subquery returns more than one row).
-- | 1.30    09 Jun 2024 Douglas Volz Fix Intransit joins for UOMs, organizations and for duplicate Intransit quantities.
-- | 1.31    25 Jun 2024 Douglas Volz Add Period Code join for Intransit, to avoid cross-joining.
-- | 1.32    27 Jun 2024 Douglas Volz Get intransit account based on the Shipping Network, to avoid duplicate quantities.
-- | 1.33    28 Jun 2024 Douglas Volz Base Intransit SQL logic on two years of Intransit Shipments, not on mtl_supply.
-- | 1.34    30 Jun 2024 Douglas Volz Get default intransit account in case the Shipping Network has been deleted or changed.
-- | 1.35    08 Aug 2024 Douglas Volz Add OPM Cost Organizations to get correct item costs and qtys.
-- +=============================================================================+*/</t>
  </si>
  <si>
    <t>CAC Inventory and Intransit Value (Period-End) - Discrete/OPM</t>
  </si>
  <si>
    <t>For Discrete Costing, this report compares the General Ledger inventory balances with the perpetual inventory values (based on the stored month-end inventory and WIP balances, generated when the inventory accounting period is closed, plus a calculated month-end receiving value).  Inventory balances includes Receiving, Onhand Inventory (Stock), Intransit and Work in Process (WIP).  This report automatically discovers your valuation accounts based on your setups, such as the Cost Method (Standard, Average, FIFO or LIFO Costing), and also if using Project Manufacturing (PJM - Cost Group Accounting) or Warehouse Management (WMS - Cost Group Accounting) or even if using Category Accounts.  But note as maintenance work orders are normally charged to expense accounts, maintenance (EAM) work orders are not included in this report.  Also note this report does not break out the perpetual account values by cost element; it assumes the elemental cost accounts by subinventory or cost group are the same as the material account, as the stored month-end perpetual inventory balances are only stored by organization, accounting period and item, but not by cost element.
/* +=============================================================================+
-- |  Copyright 2010-23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XXX_INV_RECON_REPT.sql
-- |
-- |  Parameters:
-- |  P_PERIOD_NAME      -- Enter the Period Name you wish to reconcile balances for (mandatory)
-- |  P_LEDGER           -- general ledger you wish to report, for all ledgers left this parameter blank
-- |  ============================================================================
-- |
-- |  Version Modified on Modified  by   Description
-- |  ======= =========== ============== =========================================
-- |  1.0     24 Sep 2004 Douglas Volz   Initial Coding based on earlier work with
-- |                                     the following scripts and designs:
-- |                                        XXX_GL_RECON.sql,
-- |                                        XXX_PERPETUAL_INV_RECON_SUM.sql,
-- |                                        XXX_PERPETUAL_RCV_RECON_SUM.sql,
-- |                                        XXX_PERPETUAL_WIP_RECON_SUM.sql,
-- |                                        MD050 Inventory Reconciliation
-- |  1.1     28 Jun 2010 Douglas Volz   Updated design and code for Release 12,
-- |                                     changed GL_SETS_OF_BOOKS to GL_LEDGERS
-- |  1.2     14 Nov 2010 Douglas Volz   Modified for Cost SIG Presentation
-- |  1.3     11 Mar 2014 Douglas Volz   Changed the COA segments to be generic and removed
-- |                                     the second product line join to gl_code_combinations
-- |  1.4     07 Apr 2014 Douglas Volz   Added join condition to avoid secondary ledgers and
-- |                                     added an explicit to_char on the accounts
-- |                                     ml.lookup_code to avoid an "invalid number" SQL error.
-- |  1.5     20 Jul 2016 Douglas Volz   Added condition to avoid summary journals
-- |  1.6     18 May 2020 Douglas Volz   Avoid disabled inventory organizations.
-- |  1.7     07 Dec 2020 Douglas Volz/Andy Haack   Only report inventory organization ledgers.  Initial Blitz version.
-- |  1.8     22 Feb 2023 Douglas Volz   Add in Receiving Value, fixes for Category Accounting.
-- +=============================================================================+*/
</t>
  </si>
  <si>
    <t>CAC Inventory to G/L Reconciliation (Restricted by Org Access)</t>
  </si>
  <si>
    <t>Report to compare the General Ledger inventory balances with the perpetual inventory values (based on the stored month-end inventory balances, generated when the inventory accounting period is closed).
/* +=============================================================================+
-- |  Copyright 2010-20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XXX_INV_RECON_REPT.sql
-- |
-- |  Parameters:
-- |  P_PERIOD_NAME      -- Enter the Period Name you wish to reconcile balances for
-- |                        (mandatory)
-- |  P_LEDGER           -- general ledger you wish to report, for all ledgers enter
-- |                        a NULL or % symbol (optional parameter)
-- |
-- |  Description:
-- |  Report to reconcile G/L and the Inventory and WIP Perpetual
-- |  by Ledger and full account, for a desired accounting period.
-- |
-- |  ============================================================================
-- |  Does not consider cost groups and assumes the elemental cost accounts by
-- |  subinventory are the same as the material account.
-- |  This script also uses a custom lookup code called XXX_CST_GLINV_RECON_ACCOUNTS
-- |  as a means to determine the valid inventory account numbers
-- |  ============================================================================
-- |
-- |  Version Modified on Modified  by   Description
-- |  ======= =========== ============== =========================================
-- |  1.0     24 Sep 2004 Douglas Volz   Initial Coding based on earlier work with
-- |                                     the following scripts and designs:
-- |                                        XXX_GL_RECON.sql,
-- |                                        XXX_PERPETUAL_INV_RECON_SUM.sql,
-- |                                        XXX_PERPETUAL_RCV_RECON_SUM.sql,
-- |                                        XXX_PERPETUAL_WIP_RECON_SUM.sql,
-- |                                        MD050 Inventory Reconciliation
-- |  1.1     28 Jun 2010 Douglas Volz   Updated design and code for Release 12,
-- |                                     changed GL_SETS_OF_BOOKS to GL_LEDGERS
-- |  1.2     14 Nov 2010 Douglas Volz   Modified for Cost SIG Presentation
-- |  1.3     11 Mar 2014 Douglas Volz   Changed the COA segments to be generic and removed
-- |                                     the second product line join to gl_code_combinations
-- |  1.4     07 Apr 2014 Douglas Volz   Added join condition to avoid secondary ledgers and
-- |                                     added an explicit to_char on the accounts
-- |                                     ml.lookup_code to avoid an "invalid number" SQL error.
-- |  1.5     20 Jul 2016 Douglas Volz   Added condition to avoid summary journals
-- |  1.6     18 May 2020 Douglas Volz   Avoid disabled inventory organizations.
-- +=============================================================================+*/
XXX_INV_RECON_REPT_V5-20-Jul-2016.sql</t>
  </si>
  <si>
    <t>CAC Inventory to G/L Reconciliation (Unrestricted by Org Access)</t>
  </si>
  <si>
    <t>Report to display the Invoice Price Variances (IPV), Exchange Rate Variances (ERV) and A/P Accrual Write-Off Variances for an entered date range.  IPV is the difference between the PO unit price and the invoice unit cost times the quantity invoiced.  ERV is the difference between the purchase order exchange rate and the exchange rate used by the A/P invoice.  For a given invoice line, both the IPV and ERV amounts will be shown on the same row, in separate columns.  These entries have the Type "IPV-ERV".  The A/P Accrual Write-Off Variances appear as separate rows with the Type "INV WO" for invoice write-off amounts.  The A/P Accrual Write-Off Variances typically use the IPV account so for completeness, are also displayed on this report.  
/* +=============================================================================+
-- |  Copyright 2006-2021 Douglas Volz Consulting, Inc.                          |
-- |  All rights reserved.                                                       |
-- +=============================================================================+
-- |
-- |  Original Author: Douglas Volz (doug@volzconsulting.com)
-- |
-- |  Program Name:  xxx_ipv_rept.sql
-- |
-- |  Parameters:
-- |  p_trx_date_from        -- starting accounting date for the payables invoices
-- |  p_trx_date_to          -- ending accounting date for the payables invoices
-- |  p_category_set1        -- The first item category set to report, typically the
-- |                            Cost or Product Line Category Set
-- |  p_category_set2        -- The second item category set to report, typically the
-- |                            Inventory Category Set 
-- |  p_vendor_name          -- Vendor you want to report (optional)
-- |  p_operating_unit       -- Operating Unit you wish to report, leave blank for all
-- |                            operating units (optional) 
-- |  p_ledger               -- general ledger you wish to report, leave blank for all
-- |                            ledgers (optional)
-- |
-- |  Description:
-- |  Report to display the invoice price variances for an entered date range.
-- |  IPV is the difference between the PO unit price and the invoice unit
-- |  cost times the quantity invoiced.
-- | 
-- |  Version Modified on Modified  by   Description
-- |  ======= =========== ============== =========================================
-- |  1.0     01 Jun 2006 Douglas Volz   Initial Coding based on XXX_IPV_REPT.sql
-- |  1.1     17 Apr 2010 Douglas Volz   Modified for Release 12 for Client, the IPV
-- |                                     columns are now null as a new line type
-- |                                     exists for IPV in AID, and the amount columns
-- |                                     only have the PO amounts, not the total invoice
-- |                                     amount.
-- |  1.11    22 May 2017 Douglas Volz   Added product type, business code, product family and
-- |                                     and product line inventory categories
-- |  1.12    20 Jul 2019 Douglas Volz   Removed all item categories except COSTING.
-- |  1.13    18 Feb 2021 Douglas Volz   Changed to multi-org views for items, categories
-- |                                     and HR organizations.
-- |  1.14    12 Apr 2021 Douglas Volz   Removed redundant joins and tables to improve performance.
-- +=============================================================================+*/
</t>
  </si>
  <si>
    <t>CAC Invoice Price Variance</t>
  </si>
  <si>
    <t>Report to show detailed item costs for buy and make items for one or any two cost types.  If you enter multiple cost types you will get a row-by-row comparison in detail.
Note: to find all the items with a specific Basis Type, such as Lot or Ttl value (Total value), use the Basis Type parameter.
Parameters:
===========
Cost Type:  enter the cost type(s) you wish to report (mandatory).
Category Set 1:  the first item category set to report, typically the Cost or Product Line Category Set (optional).
Category Set 2:  the second item category set to report, typically the Inventory Category Set (optional).
Make or Buy:  enter Buy, Make or leave blank to get all items (optional).
Based on Rollup:  enter Yes to get the rolled up items, No to get the non-rolled-up items (optional).
Basis Type:  enter the basis type you wish to report, such as Item, Lot, Res Units, Res Value, or Ttl Value (optional).
Item Status to Exclude:  enter the item number status you want to exclude.  Defaulted to 'Inactive' (optional).
Item Number:  enter the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2010 - 2023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xxx_item_costs_routing_rept.sql
-- |
-- | Description:
-- | Report to show detailed items costs for buy and make items for any two cost types.
-- | 
-- | Version Modified on Modified by Description
-- | ======= =========== ============== =========================================
-- |  1.0     06 Oct 2009 Douglas Volz  Initial Coding
-- |  1.1     16 Mar 2010 Douglas Volz  Updated with Make/Buy flags
-- |  1.2     26 Aug 2010 Douglas Volz  Added two cost types and effectivity date
-- |                                    parameters.
-- |  1.3     12 Oct 2010 Douglas Volz  Added parameters for business objects
-- |  1.4     26 Oct 2010 Douglas Volz  Added parameter for specific Item_Number
-- |  1.5     01 Feb 2017 Douglas Volz  Added Resource Activity and Cost Category
-- |  1.6     22 May 2017 Douglas Volz  Added inventory item category
-- |  1.7     27 Jan 2020 Douglas Volz  Added Operating_Unit and Org_Code parameters
-- |  1.8     26 Apr 2020 Douglas Volz  Changed to multi-language views for the item
-- |                                    master, inventory orgs and operating units.
-- |  1.9     21 Oct 2020 Douglas Volz  Added Category1, Category2, Cost Creation
-- |                                    Date, Last Cost Update Date, screen out
-- |                                    the item master orgs.
-- |  1.10    17 Mar 2021 Douglas Volz  Add parameter for Inactive Items.
-- |  1.11    26 Oct 2023 Douglas Volz  Added item master std lot size and defaulted
-- |                                    columns, removed tabs, added Basis Type, Based on Rollup
-- |                                    and Make/Buy parameters and org access controls.
-- |                                    Removed Cost Type2, not needed with Multiple Value
-- |                                    functionality.
-- |  1.12    07 Dec 2023 Douglas Volz  Added G/L and Operating Unit security restrictions.
-- +=============================================================================+*/
</t>
  </si>
  <si>
    <t>CAC Item Cost &amp; Routing</t>
  </si>
  <si>
    <t>Report to show item costs by cost element, by activity.  Using up to five entered activities.  In order for this report to show your activity costs you must first define your activities and then associate your sub-elements by activity.
/* +=============================================================================+
-- |  Copyright 2009-2022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xxx_item_cost_break_out_by_activity_rept.sql
-- |
-- |  Parameters:
- |  p_cost_type            -- The cost type you wish to report
-- |  p_org_code             -- Specific inventory organization you wish to report (optional)
-- |  p_operating_unit       -- Operating Unit you wish to report, leave blank for all
-- |                            operating units (optional) 
-- |  p_ledger               -- general ledger you wish to report, leave blank for all
-- |                            ledgers (optional)
-- |  p_item_number          -- Enter the specific item number you wish to report
-- |  p_activity1            -- First activity to report
-- |  p_activity2            -- Second activity to report
-- |  p_activity3            -- Third activity to report
-- |  p_activity4            -- Fourth activity to report
-- |  p_activity5            -- Fifth activity to report
-- |  p_category_set1        -- The first item category set to report, typically the
-- |                            Cost or Product Line Category Set
-- |  p_category_set2        -- The second item category set to report, typically the
-- |                            Inventory Category Set 
-- |
-- |  Description:
-- |  Report to show Frozen costs in the Frozen cost type, by activity.  Using
-- |  up to six parameters activities.
-- |  
-- |  Version Modified on Modified by Description
-- |  ======  =========== ============== =========================================
-- |  1.0     08 Nov 2016 Douglas Volz  Initial Coding based on XXX_ITEM_COST_REPT.sql\
-- |                                    Hard-coded for activities starting with S (Sort),
-- |                                    A (Assembly), T (Test), BE (Back-End) or UNASSIGNED.
-- |  1.1     09 Nov 2016 Douglas Volz  Added PL item costs with no sub-element (resource_id)
-- |  1.2     10 Nov 2016 Douglas Volz  Added Business Code, Product Family and 
-- |                                    Product Type item categories
-- |  1.3     18 Nov 2016 Douglas Volz  Modified to use the Resource Activity assignments
-- |  1.4     21 Jan 2017 Douglas Volz  Changed the report to assume that all
-- |                                    resources have been assigned to an activity
-- |  1.5     07 Sep 2019 Douglas Volz  Reported activities are now parameters.
-- |                                    Up to five activity parameters.
-- |  1.6     09 Sep 2019 Douglas Volz  Added a max(mc.segment1) for the category
-- |                                    column select statements due to having
-- |                                    multiple category values for the same org,
-- |                                    item and category set id (Inventory). 
-- |  1.7     27 Jan 2020 Douglas Volz  Added Operating Unit and Org Code parameters.
-- |  1.8     02 Jul 2022 Douglas Volz  Change for multi-language and lookup types.
-- +=============================================================================+*/</t>
  </si>
  <si>
    <t>CAC Item Cost Break-Out by Activity</t>
  </si>
  <si>
    <t>Report to compare the item costs from two cost types in any two inventory orgs, converting the Org Code 1 (Source Org) into the currency of Org Code 2 (To Org).  Put the smallest cost type into Cost Type 1, as the values for cost type 1 are always reported even if not in cost type 2.  Note that the Source Org and the Compared To Org default from the inventory organization as set for your session.
/* +=============================================================================+
-- |  Copyright 2006 - 2020 Douglas Volz Consulting, Inc.                        |
-- |  All rights reserved.                                                       | 
-- +=============================================================================+
-- |
-- |  Original Author: Douglas Volz (doug@volzconsulting.com)
-- |
-- |  Parameters:
-- |  p_org_code1            -- The inventory organization that is the source
-- |  p_org_code2            -- The inventory organization that is the target 
-- |  p_cost_type1           -- The source comparison cost type
-- |  p_cost_type2           -- The target comparison cost type
-- |  p_curr_conv_type       -- Conversion conversion type, to convert the Source
-- |                            org, org_code1, into the currency of the To_Org,
-- |                            org_code2
-- |  p_curr_conv_date       -- The currency conversion date, typically a month-end
-- |                            date
-- |  p_min_cost_diff        -- Minimum material cost diff. to show on the report
-- |  p_category_set1        -- The first item category set to report, typically the
-- |                            Cost or Product Line Category Set
-- |  p_category_set2        -- The second item category set to report, typically the
-- |                            Inventory Category Set
-- |
-- |  Description:
-- |  Report to compare the item costs from two cost types in any two inventory orgs,
-- |  converting the Org_Code 1 (Source_Org) into the currency of Org_Code 2 (To_Org).
-- |
-- |  Version Modified on Modified  by   Description
-- |  ======= =========== ============== =========================================
-- |  1.0     02 APR 2006 Douglas Volz   Initial Coding
-- |  1.1     14 Apr 2006 Douglas Volz   Final Coding for client
-- |  1.4     13 JUN 2006 Douglas Volz   Added nvl to all material costs columns
-- |  1.5     02 NOV 2009 Douglas Volz   Changed to compare the item costs for two orgs
-- |                                     across different currencies
-- |  1.6     21 Nov 2016 Douglas Volz   Take out currencies, allow comparison within
-- |                                     the same inventory org but using different
-- |                                     cost types
-- |  1.7     18 Dec 2018 Douglas Volz   Add currencies back in
-- |  1.8     30 Aug 2019 Douglas Volz   Add cost and inventory item categories,
-- |                                     item type and item status.
-- |  1.9     01 Sep 2020 Douglas Volz   Added costs by cost element.
-- |  1.10    11 Sep 2020 Douglas Volz   Added ability to report cost type1 even when
-- |                                     the item is not in cost type1. Made cic2 a
-- |                                     table select to avoid sql outer join errors.
-- |  1.11    24 Oct 2020 Douglas Volz   Fix bug to convert into any currency, not just USD.
-- |  1.12    02 Nov 2020 Douglas Volz   Again, fix to report cost type 1 even when the
-- |                                     item is not in cost type 2.
-- |  1.13    05 Jan 2022 Douglas Volz   Add lot size, shrinkage rate, based on rollup
-- |                                     flags.  Change calc. for percent difference.
+=============================================================================+*/
</t>
  </si>
  <si>
    <t>CAC Item Cost Comparison</t>
  </si>
  <si>
    <t>Report to compare summary and detail item cost information and show any out-of-balances.  Any difference may cause an inventory reconciliation issue between the G/L and the inventory perpetual balances.
/* +=============================================================================+
-- | Copyright 2009-2020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xxx_item_cost_diff_rept.sql
-- |
-- | Parameters:  None
-- |
-- | Description:
-- | Report to compare summary and detail item cost information and show any out-of-balances.
-- | Any difference may cause an inventory reconciliation issue between the G/L
-- | and the inventory perpetual balances.
-- | 
-- | Version Modified on Modified by Description
-- | ======= =========== ============== =========================================
-- |  1.0     06 Oct 2009 Douglas Volz  Initial Coding
-- |  1.1     16 Mar 2010 Douglas Volz  Updated with Make/Buy flags
-- |  1.2     08 Nov 2010 Douglas Volz  Updated with additional columns and parameters
-- |  1.3     10 Dec 2012 Douglas Volz  Compare summary and detail item cost information.
-- |  1.4     29 Apr 2020 Douglas Volz  Changed to multi-language views for the item
-- |                                    master, operating unit and lookup values.  Add
-- |                                    Ledger and Operating Unit columns and parameters.
-- +=============================================================================+*/</t>
  </si>
  <si>
    <t>CAC Item Cost Out-of-Balance</t>
  </si>
  <si>
    <t>Report to show item costs in any cost type.  For one or more inventory organizations.
Parameters:
===========
Cost Type:  enter the cost type(s) you wish to report (mandatory).
Include Uncosted Items:  enter Yes to include non-costed items, enter No to exclude them (mandatory).
Item Status to Exclude:  enter the item status you wish to exclude, defaulted to Inactive (optional).
Category Set 1:  the first item category set to report, typically the Cost or Product Line Category Set (optional).
Category Set 2:  the second item category set to report, typically the Inventory Category Set (optional).
Item Number:  enter the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2009-2024 Douglas Volz Consulting, Inc.
-- | All rights reserved.
-- | Permission to use this code is granted provided the original author is
-- | acknowledged. No warranties, express or otherwise is included in this
-- | permission.
-- +=============================================================================+
-- |
-- | Original Author: Douglas Volz (doug@volzconsulting.com)
-- |
-- | Description:
-- | Report to show item costs in any cost type
-- | 
-- | Version Modified on Modified by Description
-- | ======= =========== ============== =========================================
-- |  1.0     06 Oct 2009 Douglas Volz  Initial Coding
-- |  1.1     16 Mar 2010 Douglas Volz  Updated with Make/Buy flags
-- |  1.2     08 Nov 2010 Douglas Volz  Updated with additional columns and parameters
-- |  1.3     07 Feb 2011 Douglas Volz  Added COGS and Revenue default accounts
-- |  1.4     15 Nov 2016 Douglas Volz  Added category information
-- |  1.5     27 Jan 2020 Douglas Volz  Added Org Code and Operating Unit parameters
-- |  1.6     27 Apr 2020 Douglas Volz  Changed to multi-language views for the item
-- |                                    master, inventory orgs and operating units
-- |  1.7     21 Jun 2020 Douglas Volz  Changed to multi-language views for item 
-- |                                    status and UOM
-- |  1.8     24 Sep 2020 Douglas Volz  Added List Price and Market Price to report
-- |  1.9     29 Jan 2021 Douglas Volz  Added item master dates and Inactive Items parameter
-- |  1.10    22 Nov 2023 Douglas Volz  Add item master std lot size, costing lot size,
-- |                                    remove tabs and add org access controls
-- |  1.11    05 Dec 2023 Douglas Volz  Added G/L and Operating Unit security restrictions.
-- |  1.12    30 Jun 2024 Douglas Volz  Reinstalled missing parameter for Item Status to Exclude
-- |                                    and commented out G/L and Operating Unit security restrictions.
-- +=============================================================================+*/</t>
  </si>
  <si>
    <t>CAC Item Cost Summary</t>
  </si>
  <si>
    <t>Compare item master list price against any cost type (Cost Type 1) and also list the Standard Price (Market Price), Last PO Price, Converted Last PO Price and a secondary cost type (Cost Type 2).  All item costs and prices are in the primary UOM, using the To Currency Code.
-- | Program Name: xxx_item_target_cost_review_rept.sql
-- |
-- |  Parameters:
-- |  p_cost_type1             -- The first comparison cost type you wish to report
-- |  p_cost_type2             -- The second comparison cost type you wish to report
-- |  p_item_number            -- Enter the specific item number you wish to report
-- |  p_org_code               -- specific organization code, works with
-- |                              null or valid organization codes
-- |  p_operating_unit         -- Operating Unit you wish to report, leave blank for all
-- |                              operating units (optional) 
-- |  p_ledger                 -- general ledger you wish to report, leave blank for all
-- |                              ledgers (optional)
-- |  p_include_uncosted_items -- Yes/No flag to include or not include non-costed items
-- |  p_category_set1          -- The first item category set to report, typically the
-- |                              Cost or Product Line Category Set
-- |  p_category_set2          -- The second item category set to report, typically the
-- |                              Inventory Category Set
-- |
-- | Description:
-- | Report to show item costs in any cost type
-- | 
-- | Version Modified on Modified by Description
-- | ======= =========== ============== =========================================
-- |  1.0    29 Sep 2020 Douglas Volz   Initial Coding based on Item Cost Summary Report
-- |  1.1    22 Oct 2020 Douglas Volz   Added the Master Target Price
-- |  1.2    26 Oct 2020 Douglas Volz   Changed as List Price is always in a common, global
-- |                                    currency, translate to this "to_currency" currency
-- |  1.3    28 Oct 2020 Douglas Volz   Fixes for the last PO, need to exclude Cancelled
-- |                                    PO Lines.  
-- |  1.4    30 Oct 2020 Douglas Volz   Add To Currency Code as a visible parameter and
-- |                                    show all item costs in that currency
-- |  1.5    04 Dec 2020 Douglas Volz   Outer join fix for PO joins to item master and
-- |                                    currency exchange rates.
-- |  1.6    06 Dec 2020 Douglas Volz   Added Target Price Percent Difference column.
+=============================================================================+*/</t>
  </si>
  <si>
    <t>CAC Item List Price vs. Item Cost</t>
  </si>
  <si>
    <t>Report to show item master accounts and related information by item.
/* +=============================================================================+
-- |  Copyright 2011 - 2022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xxx_item_master_accts_rept.sql
-- |
-- |  Parameters:
-- |  p_include_non_costed_items -- Yes/No flag to include or not include non-costed items
-- |  p_item_number      -- Enter the specific inventory organization code
-- |  p_org_code         -- Specific inventory organization you wish to report (optional)
-- |  p_operating_unit   -- Operating Unit you wish to report, leave blank for all
-- |                        operating units (optional) 
-- |  p_ledger           -- general ledger you wish to report, leave blank for all
-- |                        ledgers (optional)
-- |  p_category_set1    -- The first item category set to report, typically the
-- |                        Cost or Product Line Category Set
-- |  p_category_set2    -- The second item category set to report, typically the
-- |                        Inventory Category Set
-- |
-- | Description:
-- | Report to show item master accounts and related information
-- | 
-- | Version Modified on Modified by Description
-- | ======= =========== ============== =========================================
-- |  1.0    30 Mar 2011 Douglas Volz  Initial Coding
-- |  1.1    18 Nov 2012 Douglas Volz  Removed client-specific org conditions
-- |  1.2    12 Feb 2013 Douglas Volz  Changed inventory category to be more generic
-- |  1.3    16 Nov 2015 Douglas Volz  Modified for client's chart of accounts
-- |  1.4    21 Feb 2017 Douglas Volz  Modified for client's chart of accounts and
-- |                                   added parameters to this report
-- |  1.5    17 Jul 2018 Douglas Volz  Modified for client's chart of accounts and
-- |                                   modified to use the default category for Inventory
-- |  1.6    12 Jan 2019 Douglas Volz  Use gl short_name, modify for any two categories,
-- |                                   and add operating unit parameter.
-- |  1.7    28 Apr 2020 Douglas Volz  Changed to multi-language views for the
-- |                                   inventory orgs and operating units.
-- |  1.8    29 Apr 2022 Douglas Volz  Modify summary report into the detailed report.
-- +=============================================================================+*/</t>
  </si>
  <si>
    <t>CAC Item Master Accounts Setup</t>
  </si>
  <si>
    <t>Use this report to find items where the item master default setting for include in rollup does not match the BOM component include in rollup setting.  This report includes items which are available for costing, where the inventory costing enabled flag is Yes.  And excludes inactive items.  (This report was removed from the Cost vs. Planning Item Control Report, for performance reasons.)
/* +=============================================================================+
-- |  Copyright 2021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xxx_item_include_in_bom_ctrls_repts.sql
-- |
-- |  Parameters:
-- |
-- |  p_cost_type	-- Desired cost type, mandatory
-- |  p_assignment_set	-- The assignment set you wish to report (optional)
-- |  p_item_number	-- Specific item number, to get all values enter a
-- |			   null value or blank value
-- |  p_org_code        -- Specific inventory organization you wish to report (optional)
-- |  p_operating_unit  -- Operating_Unit you wish to report, leave blank for all
-- |                       operating units (optional) 
-- |  p_ledger          -- general ledger you wish to report, leave blank for all
-- |                       ledgers (optional)
-- |
-- |  Description:
-- |  Use the below SQL scripts to find items where the item default include in
-- |  rollup does not match the BOM component include in rollup.  (Removed from
-- |  the Cost vs. Planning Item Control Report, for performance reasons.)
-- |
-- |  Version Modified on Modified  by   Description
-- |  ======= =========== ============== =========================================
-- |  1.0     07 May 2021 Douglas Volz   Initial Coding, based on the Cost vs.
-- |                                     Planning Item Control Report, version 33.
-- +=============================================================================+*/</t>
  </si>
  <si>
    <t>CAC Item vs. Component Include in Rollup Controls</t>
  </si>
  <si>
    <t>Report to show item costs which do not have this level material overhead, for any cost type.  For one or more inventory organizations.
Parameters:
===========
Cost Type:  enter the cost type(s) you wish to report (mandatory).
Make or Buy:  enter Buy, Make or leave blank to get all items (optional).
Based on Rollup:  enter Yes to get the rolled up items, No to get the non-rolled-up items (optional).
Basis Type:  enter the basis type you wish to report, such as Item, Lot, Res Units, Res Value, or Ttl Value (optional).
Item Status to Exclude:  enter the item status you wish to exclude, defaulted to Inactive (optional).
Category Set 1:  the first item category set to report, typically the Cost or Product Line Category Set (optional).
Category Set 2:  the second item category set to report, typically the Inventory Category Set (optional).
Category Set 3:  the third item category set to report (optional).
Item Number:  enter the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2024 Douglas Volz Consulting, Inc.
-- | All rights reserved.
-- | Permission to use this code is granted provided the original author is
-- | acknowledged. No warranties, express or otherwise is included in this permission.
-- +=============================================================================+
-- |
-- | Original Author: Douglas Volz (doug@volzconsulting.com)
-- | 
-- | Version Modified on Modified by Description
-- | ======= =========== ============== =========================================
-- |  1.0    15 Nov 2024 Douglas Volz  Initial Coding based on the Item Cost Summary Report.
-- |  1.1    08 Dec 2024 Douglas Volz  Added Ledger and Operating Unit security profiles.
-- +=============================================================================+*/</t>
  </si>
  <si>
    <t>CAC Items Without This Level Material Overhead</t>
  </si>
  <si>
    <t>Report to show the last standard item cost as of a specified cost update date; expecially useful if you have not saved off your Frozen costs at year-end, before updating to your new standard costs for the following year.  Including various item controls, last cost update submission, last standard item cost and current (Frozen) item cost.  And whether or not BOMs, routings or (inventory organization) sourcing rules exist for the item as of the specified cost update date.  And as allowed with no onhand or intransit quantities, if an item cost has been directly entered into the Frozen Cost Type, the Cost Update Request Id, Cost Update Description, Cost Update Status and related cost update submission columns will be blank or empty.
This report complements the CAC New Standard Item Cost report.  The CAC New Standard Item Cost report shows you the cost update history over a range of  Standard Cost Revision Dates, useful to track standard cost changes on a weekly basis.  The CAC Last Standard Item Cost report shows you how each item got its last Standard Item Cost as of a given Standard Cost Revision Date.  Useful to assess when the current standard costs were created and by whom.
Parameters:
==========
Cost Update Date To: ending cost update revision date, based on standard cost submission history (required).
Category Set 1:  any item category you wish, typically the Cost or Product Line category set (optional).
Category Set 2:  any item category you wish, typically the Inventory category set (optional).
Item Status to Exclude:  enter the item status to exclude from this report, defaults to Inactive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2024 Douglas Volz Consulting, Inc.
-- | All rights reserved.
-- | Permission to use this code is granted provided the original author is
-- | acknowledged. No warranties, express or otherwise is included in this permission.                                                                 |
-- +=============================================================================+
-- |
-- | Original Author: Douglas Volz (doug@volzconsulting.com)
-- |
-- | Program Name: xxx_last_standard_item_cost_rept.sql
-- |
-- | Description:
-- | Report to show the last standard cost for all items in an inventory organization,
-- | up to the entered Cost Update Date parameter.
-- | 
-- | Version Modified on Modified by    Description
-- | ======= =========== ============== =========================================
-- |  1.0    15 Jan 2024 Douglas Volz   Initial coding based on the New Standard Item Cost report.
-- +=============================================================================+*/</t>
  </si>
  <si>
    <t>CAC Last Standard Item Cost</t>
  </si>
  <si>
    <t>Report to fetch all buy items (based on rollup = No).   Used as a source of item costs for buy items which you wish to edit or change using the More4Apps Item Cost Wizard or similar tool.  You can over-ride the Make Buy Code by removing the defaulted value, but the Oracle Item Cost Interface works best for Buy Items; it does not work well with rolled-up costs and accordingly, this report only downloads items whose costs are not based on the cost rollup.
This report approximates the layout for the More4Apps Item Cost Wizard; run this report to get your Buy Item costs into Excel, make your changes in Excel then paste these revised costs into the More4Apps Item Cost Wizard.  Columns needed for the More4Apps Item Cost Wizard:  Org Code, Cost Type, Item Number, Based on Rollup, Lot Size, Mfg Shrinkage, Cost Element, Sub-Element, Basis Type and Rate or Amount.  The additional columns, Currency Code, UOM Code, Make Buy Code and Inventory Asset, are for reference purposes.
Parameters:
===========
From Cost Type:  enter the cost type you are downloading from (mandatory).
To Cost Type:  enter the cost type you are planning to upload back into the More4Apps Item Cost Wizard.  This Cost Type will show up on the report output (mandatory).
Item Status to Exclude:  enter the item number status you want to exclude.  Defaulted to 'Inactive' (optional).
Make or Buy:  enter the type of item you wish to report.  Defaulted to Buy Items, as the Oracle Item Cost Interface works best with items that you purchase, as opposed to rolled up costs (optional).
Cost Element:  enter the specific cost element you wish to download; for Buy Items typically the Material and Material Overhead Cost Elements (optional).
Organization Code:  enter the specific inventory organization(s) you wish to report (optional).
Operating Unit:  enter the specific operating unit(s) you wish to report (optional).
Ledger:  enter the specific ledger(s) you wish to report (optional).
/* +=============================================================================+
-- | Copyright 2017 - 2023 Douglas Volz Consulting, Inc.
-- | All rights reserved.
-- | Permission to use this code is granted provided the original author is
-- | acknowledged. No warranties, express or otherwise is included in this
-- | permission.
-- +=============================================================================+
-- |
-- | Original Author: Douglas Volz (doug@volzconsulting.com)
-- |
-- | Program Name: xxx_load_m4app_buy_item_costs.sql
-- | 
-- | Version Modified on Modified by Description
-- | ======= =========== ============== =========================================
-- |  1.0    07 Jun 2017 Douglas Volz  Initial Coding
-- |  1.1    16 Jun 2017 Douglas Volz  Only report based on rollup = No
-- |  1.2    12 Nov 2018 Douglas Volz  Remove prior client org restriction and
-- |                                   add Ledger parameter.
-- |  1.3    27 Jan 2020 Douglas Volz  Added Operating Unit parameter.
-- |  1.4    06 Jul 2022 Douglas Volz  Changed to multi-language views for the item
-- |                                   master and inventory orgs.
-- |  1.5    21 Oct 2023 Douglas Volz  Added UOM Code, Make Buy Code and Inventory
-- |                                   Asset columns; added Item Status, Make Buy
-- |                                   and Cost Element parameters, removed tabs
-- |                                   and added org access controls.
-- |  1.6    05 Dec 2023 Douglas Volz  Added G/L and Operating Unit security restrictions.
-- +=============================================================================+*/
</t>
  </si>
  <si>
    <t>CAC Load More4Apps Buy Item Costs</t>
  </si>
  <si>
    <t>Report your summary or detail manufacturing variances for open and closed WIP jobs.  If the job is open the Report Type column displays "Valuation", as this WIP job and potential variances are still in your WIP inventory balances.  If the job has been closed during the reporting period, the Report Type column displays "Variance", as this WIP job was written off on a WIP Job Close Variance transaction.  You can report prior periods and the report will automatically adjust the assembly completion, assembly scrap, component issue and resource quantities to reflect the reported accounting period, as well as report only jobs which were open or closed during that prior period.
Closed, Pending Close, Cancelled, Complete and Complete No Charges WIP job statuses use the completion quantities.  All other WIP jobs use the parameter "Use Completion Quantities".  And if you use Standard Costing, for standard discrete jobs this report also shows your configuration and method variances; the difference between your WIP BOM/routing and your standard BOM/routing.  Non-standard jobs usually do not have configuration variances, as they are "non-standard" without standard BOM or routing requirements.
Parameters:
==========
Report Option:  Open jobs, Closed jobs or All jobs.  Use this to limit the size of the report.  (mandatory)
Period Name:  the accounting period you wish to report.  (mandatory)
Cost Type:  defaults to your Costing Method; if the cost type is missing component costs the report will find any missing item costs from your Costing Method cost type.
Include Scrap Quantities:  for calculating your completion quantities and component quantity requirements, include or exclude any scrapped assembly quantities.  (mandatory)
Include Unreleased Jobs:  include jobs which have not been released and are not started.  (mandatory)
Include Bulk Supply Items:  include Bulk items to match the results from the Oracle Discrete Job Value Report; exclude knowing that Bulk items are usually not issued to the WIP job.  (mandatory)
Use Completion Qtys:  for jobs in a released status, use the completion quantities for the material usage and configuration variance calculations.  Useful if you backflush your materials based on your completion quantities.  Complete, Complete - No Charges, Cancelled, Closed, Pending Close or Failed Close alway use the completion quantities in the variance calculations.  (mandatory)
Config/Lot Variances for Non-Std:  calculate configuration and lot variances for non-standard jobs.
Include Unimplemented ECOs:  include future BOM changes.
Alternate BOM Designator:  if you save your BOMs during your Cost Rollups (based on your Cost Type setups), use this parameter to get the correct BOMs for the configuration variance calculations.  If you leave this field blank the report uses the latest BOM component effectivity date up to the period close date.  (optional)
Category Set 1, 2, 3:  any item category to report (optional).
Class Code:  specific type of WIP class to report (optional).
Job Status:  specific WIP job status (optional).
WIP Job:  specific WIP job (optional).
Assembly Number:  specific assembly number to report (optional)
Component Number:   specific component item to report (optional)
Outside Processing Item:  Specific outside processing component to report (optional).
Resource Code:  Specific resource code to report (optional).
Organization Code:  any inventory organization, defaults to your session's inventory org (optional).
-- |  Copyright 2011-25 Douglas Volz Consulting, Inc. 
-- |  Version Modified on Modified  by   Description
-- |  ======= =========== =============== =========================================
-- |  1.36    21 Dec 2024 Douglas Volz   Fixes for Configuration and Method Variances.
-- |  1.37    02 Jan 2025 Douglas Volz    Add Scrap Variance column, to avoid double-counting assy scrap.
-- |  1.38    04 Feb 2025 Douglas Volz   Consolidate Summary and Detail reports into one report.
</t>
  </si>
  <si>
    <t>CAC Manufacturing Variance</t>
  </si>
  <si>
    <t>Report for the margin from the customer invoices and shipments, including the Sales and COGS accounts, based on the standard Oracle Margin table, cst_margin_summary.  (If you want to show the COGS and Sales Margins without accounts, use report CAC Margin Analysis Summary.)
Notes:
1)  In order to run this report, you first need to run the Margin Analysis Load Run request (to populate the standard Oracle Margin table).
2)  If you have customized Subledger Accounting or used custom programs to record COGS by cost element, this report shows only the first COGS account, as there is only one reported row per sales order line.
Parameters:
===========
Transaction Date From:  enter the starting transaction date (mandatory).
Transaction Date To:  enter the ending transaction date (mandatory).
Category Set 1:  any item category you wish, typically the Cost or Product Line category set (optional).
Category Set 2:  any item category you wish, typically the Inventory category set (optional).
Customer Name:  enter the specific customer name you wish to report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2006 - 2024 Douglas Volz Consulting, inc.
-- |  All rights reserved.
-- |  Permission to use this code is granted provided the original author is
-- |  acknowledged.  No warranties, express or otherwise is included in this
-- |  permission.
-- +=============================================================================+
-- |
-- |  Original Author: Douglas Volz (doug@volzconsulting.com)
-- |
-- |  Program Name:  xxx_margin_analysis_rept.sql
-- | 
-- |  Version Modified on Modified  by   Description
-- |  ======= =========== ============== =========================================
-- |  1.0     18 APR 2006 Douglas Volz   Initial Coding
-- |  1.1     15 MAY 2006 Douglas Volz   Working version
-- |  1.2     17 MAY 2006 Douglas Volz   Added order line and date information
-- |  1.3     14 Dec 2012 Douglas Volz   Modified for Garlock, changed category set
-- |  1.4     19 Dec 2012 Douglas Volz   Bug fix for category set name
-- |  1.5     29 Jan 2013 Douglas Volz   Fixed date parameters to have same format
-- |          as other reports; had to remove sales and COGS accounts as these are 
-- |          on different rows and would need to rewrite the code to include this.
-- |          Also added a join for mic and mcs for category_set_id to avoid duplicate rows.
-- |          And added a having clause to screen out zero rows.
-- |  1.6     25 Feb 2013 Douglas Volz   Added mtl_default_category_sets mdcs table
-- |                                     to make the script more generic
-- |  1.7     27 Feb 2017 Douglas Volz   Modified for Item Category and customer
-- |                                     information.  
-- |  1.8     28 Feb 2017 Douglas Volz   Removed sales rep information,
-- |                                     was causing cross-joining.
-- |  1.9     22 May 2017 Douglas Volz   Adding Inventory item category
-- |  1.10    23 May 2020 Douglas Volz   Use multi-language table for UOM Code, item master
-- |                                     OE transaction types and hr organization names. 
-- |  1.11    06 Nov 2020 Douglas Volz   Fix for having custom, multiple COGS accounts by
-- |                                     cost element.  Now only get one COGS account.
-- |  1.12    14 Jun 2024 Douglas Volz   Remove tabs, reinstall parameters and org access controls.
-- +=============================================================================+*/</t>
  </si>
  <si>
    <t>CAC Margin Analysis Account Summary</t>
  </si>
  <si>
    <t>Report for the margin from the customer invoices and shipments, based on the standard Oracle Margin table, cst_margin_summary.  (If you want to show the COGS and Sales Accounts use report CAC Margin Analysis Account Summary.)  
Note:  in order to run this report, you first need to run the Margin Analysis Load Run request (to populate the standard Oracle Margin table).
Parameters:
===========
Transaction Date From:  enter the starting transaction date (mandatory).
Transaction Date To:  enter the ending transaction date (mandatory).
Category Set 1:  any item category you wish, typically the Cost or Product Line category set (optional).
Category Set 2:  any item category you wish, typically the Inventory category set (optional).
Customer Name:  enter the specific customer name you wish to report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2006 - 2024 Douglas Volz Consulting, Inc.
-- |  All rights reserved.
-- |  Permission to use this code is granted provided the original author is 
-- |  acknowledged.  No warranties, express or otherwise is included in this
-- |  permission.
-- +=============================================================================+
-- |
-- |  Original Author: Douglas Volz (doug@volzconsulting.com)
-- | 
-- |  Version Modified on Modified  by   Description
-- |  ======= =========== ============== =========================================
-- |  1.0     18 APR 2006 Douglas Volz   Initial Coding
-- |  1.1     15 MAY 2006 Douglas Volz   Working version
-- |  1.2     17 MAY 2006 Douglas Volz   Added order line and date information
-- |  1.3     14 Dec 2012 Douglas Volz   Modified for Garlock, changed category set
-- |  1.4     19 Dec 2012 Douglas Volz   Bug fix for category set name
-- |  1.5     29 Jan 2013 Douglas Volz   Fixed date parameters to have same format
-- |          as other reports; had to remove sales and COGS accounts as these are 
-- |          on different rows and would need to rewrite the code to include this.
-- |          Also added a join for mic and mcs for category_set_id to avoid duplicate rows.
-- |          And added a having clause to screen out zero rows.
-- |  1.6     25 Feb 2013 Douglas Volz   Added apps.mtl_default_category_sets mdcs table
-- |                                     to make the script more generic
-- |  1.7     27 Feb 2017 Douglas Volz   Modified for Item Category and customer
-- |                                     information.  
-- |  1.8     28 Feb 2017 Douglas Volz   Removed sales rep information,
-- |                                     was causing cross-joining.
-- |  1.9     22 May 2017 Douglas Volz   Adding Inventory item category
-- |  1.10    23 May 2020 Douglas Volz   Use multi-language table for UOM Code, item 
-- |                                     master, OE transaction types and hr organization names. 
-- |  1.11    14 Jun 2024 Douglas Volz   Remove tabs, reinstall parameters and org access controls.
-- +=============================================================================+*/
</t>
  </si>
  <si>
    <t>CAC Margin Analysis Summary</t>
  </si>
  <si>
    <t>Report to display the material account alias transactions by lot number.  Specify Yes for Show Lot Number to split out the transaction quantities and amounts by transaction lot number.  And if processed by Create Accounting, the Create Accounting column shows "Yes".
Parameters:
===========
Transaction Date From:  enter the starting transaction date (mandatory).
Transaction Date To:  enter the ending transaction date (mandatory).
Show Lot Number:  enter Yes to see transactions by lot number, enter No to exclude lot information (mandatory).
Account Alias:  enter the account alias to report (optional).
Category Set 1, 2, 3:  any item category you wish (optional).
Item Number:  enter the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2009-2025 Douglas Volz Consulting, Inc.
-- |  All rights reserved.
-- |  Permission to use this code is granted provided the original author is
-- |  acknowledged.  No warranties, express or otherwise is included in this permission.
-- +=============================================================================+
-- |
-- |  Original Author: Douglas Volz (doug@volzconsulting.com)
-- | 
-- |  Version Modified on Modified  by   Description
-- |  ======= =========== ============== =========================================
-- |  1.0     06 Nov 2009 Douglas Volz   Initial Coding
-- |  1.1     11 Nov 2009 Douglas Volz   Added Org Code and transaction ID
-- |  1.2     12 Nov 2009 Douglas Volz   Added item and description
-- |  1.3     06 Jan 2010 Douglas Volz   Made dates a parameter
-- |  1.4     12 Jan 2010 Douglas Volz   Added quantity and unit cost columns
-- |  1.5     12 Jan 2010 Douglas Volz   Added account alias information
-- |  1.6     20 Jun 2010 Douglas Volz   Added created by information and fixed sort
-- |  1.7     27 Jun 2010 Douglas Volz   Fixed column label for user name, added Ledger parameter
-- |  1.8     16 Jul 2010 Douglas Volz   Added primary unit of measure (UOM), reason
-- |                                     code and transaction reference (comments) and added lot number
-- |  1.9     06 Feb 2012 Douglas Volz   Rewrite SQL report to solve cross-joining problem
-- |                                     with having multiple lot numbers per material transaction and multiple material overheads
-- |  1.10    22 Jun 2015 Douglas Volz   Added back comments to this code, removed client-specific SLA rules
-- |  1.11    17 May 2017 Douglas Volz   Added category sets
-- |  1.12    25 Mar 2025 Douglas Volz   Cleaned up code for Blitz Report and added Create Accounting Y/N column.
-- +=============================================================================+*/
</t>
  </si>
  <si>
    <t>CAC Material Account Alias with Lot Numbers</t>
  </si>
  <si>
    <t>Report to get the Material accounting distributions, in detail, for each item, organization and individual transaction.  Including Ship From and Ship To information for inter-org transfers.  With the Show SLA Accounting parameter you can choose to use the Release 12 Subledger Accounting (Create Accounting) account setups by selecting Yes.  And if you have not modified your SLA accounting rules, select No to allow this report to run a bit faster.  Use Show Projects to display or not display the project information (project number, name, task and project cost collection status) and use Show WIP Job to display or not display the WIP job information (WIP class, class type, WIP job, description, assembly number and assembly description).  For Discrete, Flow and Workorderless WIP (but not Repetitive Schedules).  Both Flow and Workorderless show up as the WIP Type "Flow schedule".  And to get all positive and negative amounts above a threshold value, use the Minimum Absolute Amount parameter.
Note:  this report has identical code and logic as the CAC ICP PII Material Account Detail report, however, but with the use of hidden parameters, the PII (profit in inventory) features have been turned off.
Parameters:
===========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Projects:  display the project information.  Enter Yes or No, use to limit the report size (mandatory).
Show WIP:  display the WIP job or flow schedule information.  Enter Yes or No, use to limit the report size (mandatory).
Category Set 1:  any item category you wish, typically the Cost or Product Line category set (optional).
Category Set 2:  any item category you wish, typically the Inventory category set (optional).
Accounting Line Type:  enter the accounting purpose or line type to report (optional).
Transaction Type:  select the material transaction type, such as PO Receipt, Return to Vendor or Account Alias Issue (optional).
Transaction Source Type:  select the material transaction source, such as Purchase Order or Account Alias (optional).
Transaction Id:  enter the transaction number or identifier to report (optional).
Minimum Absolute Amount:  enter the minimum debit or credit to report (optional).  To see all accounting entries, enter zero (0).
Only Zero Amounts:  use this parameter to find entries with a zero transaction amount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2009- 2022 Douglas Volz Consulting, Inc.
-- |  All rights reserved.
-- |  Permission to use this code is granted provided the original author is
-- |  acknowledged.  No warranties, express or otherwise is included in this permission. 
-- +=============================================================================+
-- | 
-- |  Version Modified on Modified  by   Description
-- |  ======= =========== ============== =========================================
-- |  1.0     06 Nov 2009 Douglas Volz   Initial Coding
-- | 1.29    19 Oct 2022 Douglas Volz    Performance improvements for PII item costs and WIP components.
-- | 1.30    21 Oct 2022 Douglas Volz    Logic change for resolving Internal RMA order numbers.
-- | 1.31    28 Jul 2025 Douglas Volz    Added Reason Codes and GL &amp; OU Security Profiles.
-- +=============================================================================+*/</t>
  </si>
  <si>
    <t>CAC Material Account Detail</t>
  </si>
  <si>
    <t>Report to get the Material accounting distributions, in summary, for each item, organization and subinventory.  Including Ship From and Ship To information for inter-org transfers.  With the Show SLA Accounting parameter you can choose to use the Release 12 Subledger Accounting (Create Accounting) account setups by selecting Yes.  And if you have not modified your SLA accounting rules, select No to allow this report to run a bit faster.  With parameters to also limit the report size.  Use Show Subinventories to display or not display the subinventory information. Use Show Projects to display or not display the project number and name and use Show WIP Job to display or not display the WIP job information (WIP class, class type, WIP job, description, assembly number and assembly description).  For Discrete, Flow and Workorderless WIP (but not Repetitive Schedules).  Both Flow and Workorderless show up as the WIP Type "Flow schedule".   Also note this report version shows the latest item status and make buy codes, even if you run the report for prior accounting periods.
Note:  this report has identical code and logic as the CAC ICP PII Material Account Summary report, however, with the use of hidden parameters, the PII (profit in inventory) features have been turned off.
Parameters:
===========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Projects:  display the project number and name.  Enter Yes or No, use to limit the report size (mandatory).
Show Subinventories:  display the subinventory code and description.  Enter Yes or No, use to limit the report size (mandatory).
Show WIP:  display the WIP job or flow schedule information (WIP class, class type, WIP job, description, assembly number and assembly description).  Enter Yes or No, use to limit the report size (mandatory).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2009- 2024 Douglas Volz Consulting, Inc.
-- |  All rights reserved.
-- |  Permission to use this code is granted provided the original author is
-- |  acknowledged.  No warranties, express or otherwise is included in this permission. 
-- +=============================================================================+
-- | 
-- |  Version Modified on Modified  by   Description
-- |  ======= =========== ============== =========================================
-- |  1.0     06 Nov 2009 Douglas Volz   Initial Coding
-- | 1.27    07 Oct 2022 Douglas Volz    Correction for period name joins for interorg transactions.
-- | 1.28    16 Oct 2022 Douglas Volz    Correction for quantity calculations and PII logic.
-- | 1.30    13 Jun 2024 Douglas Volz    Removed tabs, reinstalled parameters, including org access restrictions.
-- +=============================================================================+*/</t>
  </si>
  <si>
    <t>CAC Material Account Summary</t>
  </si>
  <si>
    <t>Report to show the material overhead sub-element definition and the default material overheads, if any.
/* +=============================================================================+
-- |  Copyright 2011 - 2020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xxx_mtl_ovhd_setup_rept.sql
-- |
-- |  Parameters:
-- |  p_org_code         -- Specific inventory organization you wish to report (optional)
-- |  p_operating_unit   -- Operating Unit you wish to report, leave blank for all
-- |                        operating units (optional) 
-- |  p_ledger           -- general ledger you wish to report, leave blank for all
-- |                        ledgers (optional)
-- |  p_only_active      -- include only active material overhead codes.  Enter
-- |                        Yes (Yes) to return only active (non-disabled) material 
-- |                        overhead codes.  Enter No (No) to get all material 
-- |                        overhead codes.
-- |
-- |  Description:
-- |  Report to show the material overhead sub-element definition and the default
-- |  material overheads, if any.
-- |
-- |  Version Modified on Modified  by   Description
-- |  ======= =========== ============== =========================================
-- |  1.0     05 Apr 2011 Douglas Volz   Initial Coding 
-- |  1.1     21 Feb 2016 Douglas Volz   Modified Chart of Accounts to match client's COA
-- |  1.2     17 Jul 2018 Douglas Volz   Modified Chart of Accounts to match client's COA
-- |  1.3     16 Jan 2020 Douglas Volz   Add inventory org and operating unit parameters.
-- |  1.4      8 Apr 2020 Douglas Volz   Fix for p_only_active parameter conditions and
-- |                                     changed from fnd_lookup_values to mfg_lookups
-- |                                     sys_yes_no for the Functional Currency column.
-- |                                     Was duplicating rows.
-- |  1.5     28 Apr 2020 Douglas Volz   Changed to multi-language views for the
-- |                                     inventory orgs and operating units.
-- +=============================================================================+*/</t>
  </si>
  <si>
    <t>CAC Material Overhead Setup</t>
  </si>
  <si>
    <t>Report to find material accounting entries where the material transaction's costed flag says that the transaction has been costed but the material accounting entries do not exist.  If you enter Yes for "Only Costed Items" the report ignores material transactions where the transaction item cost does not exist (null value) or where the item's inventory asset setting in the item master is set to No.  If you enter No for "Only Costed Items" the report includes material transactions where the item cost does not exist or where the item's inventory asset setting is set to No.  To get all transactions which are missing the material accounting entries, even for transactions where the transaction amounts are too small, set the "Only Costed Items" to No and the Minimum Transaction Amount to zero (0).  
Notes:
1)  For PO Receipts the Transaction Cost column displays the purchase order unit price.
2)  For Cost Updates the Transaction Cost column displays the item cost differences between the old and new costs.
3)  The Item Cost column shows average or standard costs at the time and date of the transaction.
4)  For Pick Transactions, Move Order Transfers, Subinventory Transfers and Direct Transfers, the Transfer Transaction Id column indicates the second half of the transfer, for the receipt back into the receiving subinventory (which never has any material accounting entries).
Parameters:
Transaction Date From:  Starting transaction date, mandatory
Transaction Date:  Ending transaction date, mandatory
Minimum Transaction Amount:  The absolute smallest transaction amount to be reported
Only Costed Items:  Only include items where the item master asset flag is set to Yes and where the material transaction has a non-null item cost
Category Set 1:  The first item category set to report, typically the Cost or Product Line Category Set
Category Set 2:  The second item category set to report, typically the Inventory Category Set
Item Number:  Specific item number you wish to report (optional)
Organization Code:  Specific inventory organization you wish to report (optional)
Operating Unit:  Operating Unit you wish to report, leave blank for all operating units (optional) 
Ledger:  general ledger you wish to report, leave blank for all ledgers (optional)
/* +=============================================================================+
-- |  Copyright 2009 - 2023 Douglas Volz Consulting, Inc. 
-- |  All rights reserved.
-- |  Permission to use this code is granted provided the original author is
-- |  acknowledged.  No warranties, express or otherwise is included in this  permission. 
-- +=============================================================================+
-- |
-- |  Original Author: Douglas Volz (doug@volzconsulting.com)
-- | 
-- |  Version Modified on Modified  by   Description
-- |  ======= =========== ============== =========================================
-- |  1.0     06 Nov 2009 Douglas Volz   Initial Coding
-- |  1.1     11 Nov 2009 Douglas Volz   Added Org Code and transaction ID
-- |  1.2     12 Nov 2009 Douglas Volz   Added item and description
-- |  1.3     06 Jan 2010 Douglas Volz   Made dates a parameter
-- |  1.4     12 Jan 2010 Douglas Volz   Added quantity and unit cost columns
-- |  1.5     14 Jul 2022 Douglas Volz   Added comparison to WIP material accounting
-- |  1.6     19 Jul 2022 Douglas Volz   Modify to be run for all material transactions
-- |  1.7     20 Jul 2022 Douglas Volz   Add parameter for only costed items and transactions.
-- |  1.8     21 Jul 2022 Douglas Volz   Added transaction cost, WIP job and job status
-- |  1.9     23 Jul 2022 Douglas Volz   Added Ledger and Operating Unit columns.
-- |  1.10    25 Jul 2022 Douglas Volz   Added transfer transaction id column
-- |  1.11    11 Jul 2023 Douglas Volz   Fix for expense subinventories, remove tabs and restrict to only orgs you have access to. 
-- +=============================================================================+*/</t>
  </si>
  <si>
    <t>CAC Missing Material Accounting Transactions</t>
  </si>
  <si>
    <t>Report to find receiving transactions where the receiving accounting entries do not exist, for PO receipts into receiving and for returns from inventory and outside processing (work in process).  To get all transactions which are missing receiving accounting entries, even for transactions where the transaction amounts are too small, set the Minimum Transaction Amount to zero (0).  And note the quantities and purchase order unit prices are expressed in the item's primary unit of measure. 
Note:  To find missing purchase order deliveries into inventory or work in process, use the CAC Missing Material Transactions and the CAC Missing WIP Transactions reports.
/* +=============================================================================+
-- |  Copyright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find_missing_receiving_accounting_entries.sql
-- |
-- |  Parameters:
-- |  p_trx_date_from    -- Starting transaction date, mandatory
-- |  p_trx_date_to      -- Ending transaction date, mandatory
-- |  p_minimum_amount   -- The absolute smallest transaction amount to be reported
-- |  p_category_set1    -- The first item category set to report, typically the
-- |                        Cost or Product Line Category Set
-- |  p_category_set2    -- The second item category set to report, typically the
-- |                        Inventory Category Set
-- |  p_item_number      -- Specific item number you wish to report (optional)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to find receiving transactions where the receiving accounting entries do not
-- |  exist.
-- | 
-- |  Version Modified on Modified  by   Description
-- |  ======= =========== ============== =========================================
-- |  1.0     14 Jul 2022 Douglas Volz   Initial Coding
-- |  1.1     15 Jul 2022 Douglas Volz   Added PO number, PO Line, decode on receipt
-- |                                     quantity.
-- |  1.2     18 Jul 2022 Douglas Volz   Correct logic for CORRECT transaction types.
-- |  1.3     23 Jul 2022 Douglas Volz   Added Parent Transaction Type to report.
-- |                                     Additional exclusions for CORRECT transactions.
-- +=============================================================================+*/</t>
  </si>
  <si>
    <t>CAC Missing Receiving Accounting Transactions</t>
  </si>
  <si>
    <t>Report to find work in process (WIP) accounting entries where the WIP transaction has been created but the WIP accounting entries do not exist.  If you enter Yes for "Only Costed Resources" the report ignores WIP transactions where the resource code is defined as not allowing costs (not costed).  If you enter No for "Only Costed Resources" the report includes WIP transactions where the resource code does not allow costs as well as costed resources.  And to get all transactions which are missing the WIP accounting entries, even for transactions where the resources are not costed, set the "Only Costed Resources" to No and the Minimum Transaction Amount to zero (0).
/* +=============================================================================+
-- |  Copyright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missing_wip_accounting_transactions.sql
-- |
-- |  Parameters:
-- |  p_trx_date_from         -- Starting transaction date, mandatory
-- |  p_trx_date_to           -- Ending transaction date, mandatory
-- |  p_minimum_amount        -- The absolute smallest transaction amount to be reported
-- |  p_only_costed_resources -- Only include transactions where the resource code is costed.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to find WIP accounting entries where the WIP accounting entries do not
-- |  exist.
-- | 
-- |  Version Modified on Modified  by   Description
-- |  ======= =========== ============== =========================================
-- |  1.0     21 Jul 2022 Douglas Volz   Initial Coding based on missing_material_accounting_transactions.sql
-- |  1.1     23 Jul 2022 Douglas Volz   Added Ledger and Operating Unit columns. 
-- +=============================================================================+*/
</t>
  </si>
  <si>
    <t>CAC Missing WIP Accounting Transactions</t>
  </si>
  <si>
    <t>Report to show items which have been recently created, including various item controls, item costs (per your Costing Method), item master accounts, last transaction and onhand stock, based on the item master creation date.
Parameters:
===========
Creation Date From:  starting item master creation date (required).
Creation Date To: ending item master creation date (required).
Include Uncosted Items:  enter Yes to display items which are set to not be costed in your Costing Method Cost Type, defaulted as Yes (mandatory).
Category Set 1:  any item category you wish, typically the Cost or Product Line category set (optional).
Category Set 2:  any item category you wish, typically the Inventory category set (optional).S
Organization Code:  enter the specific inventory organization(s) you wish to report (optional).
Operating Unit:  enter the specific operating unit(s) you wish to report (optional).
Ledger:  enter the specific ledger(s) you wish to report (optional).
/* +=============================================================================+
-- | Copyright 2010 - 2023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xxx_new_items_rept.sql
-- |
-- |
-- | Description:
-- | Report to show zero item costs in the "costing method" cost type, 
-- | the creation date and any onhand stock.
-- | 
-- | version modified on modified by description
-- | ======= =========== ============== =========================================
-- |  1.0    14 jun 2017 Douglas Volz   Initial coding based on the zero item cost
-- |                                    report, xxx_zero_item_cost_report.sql, version 1.3
-- |  1.1    20 Jan 2020 Douglas Volz   Added Org Code and Operating Unit parameters.
-- |  1.2    07 Jul 2022 Douglas Volz   Changed to multi-language views for the item
-- |                                    master and inventory orgs.  Added item master
-- |                                    accounts and costs by cost element.
-- |  1.3    09 Jul 2023 Douglas Volz   Remove tabs and restrict to only orgs you have
-- |                                    access to, using the org access view.
-- |  1.4    08 Aug 2023 Douglas Volz   Fix item status code to use translated values.
-- |  1.5    22 Nov 2023 Douglas Volz   Add BOM/Routing/Sourcing Rule columns, item master
-- |                                    created by and std lot size and costing created by,
-- |                                    costing lot size and defaulted flag. 
-- |  1.6    05 Dec 2023 Douglas Volz   Added G/L and Operating Unit security restrictions. 
-- +=============================================================================+*/</t>
  </si>
  <si>
    <t>CAC New Items</t>
  </si>
  <si>
    <t>Report to show items which have recent item cost changes, including various item controls, last cost update submission, new standard item cost, prior item cost and current (Frozen) item cost, by cost update date.  And whether or not BOMs, routings or (inventory organization) sourcing rules exist for the item.  As allowed with no onhand or intransit quantities, if an item cost has been directly entered into the Frozen Cost Type, the Cost Update Request Id, Cost Update Description, Cost Update Status and related cost update submission columns will be blank or empty.
Parameters:
Cost Update Date From:  starting cost update date, based on standard cost submission history (required).
Cost Update Date To: ending cost update date, based on standard cost submission history (required).
From Cost Type:  enter the cost type implemented by the Standard Cost Update into the Frozen costs (optional).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xxx_new_standard_item_cost_rept.sql
-- | 
-- | Version Modified on Modified by    Description
-- | ======= =========== ============== =========================================
-- |  1.0    29 Sep 2023 Douglas Volz   Initial coding based on the Cost Update
-- |                                    Submissions report.
-- |  1.1    30 Oct 2023 Douglas Volz   Added Item Created By, Last Updated By 
-- |                                    and BOM/Routing/Sourcing Rules exist columns.
-- |  1.2    22 Nov 2023 Douglas Volz   Add item master and costing lot sizes, and 
-- |                                    use default controls columns.
-- |  1.3    05 Dec 2023 Douglas Volz   Added G/L and Operating Unit security restrictions. 
-- +=============================================================================+*/</t>
  </si>
  <si>
    <t>CAC New Standard Item Costs</t>
  </si>
  <si>
    <t>Report to show the count of item costs by cost type.  Use this report after you copy from one cost type to another, to ensure all rows have been copied over.
/* +=============================================================================+
-- |  Copyright 2017 - 2019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xxx_count_costs_by_cost_type.sql
-- |
-- |  Parameters:
-- |  p_from_cost_type       -- The cost type you copied from, mandatory
-- |  p_to_cost_type         -- The cost type you copied to, mandatory
-- |  p_from_org_code        -- The inventory organization you copied from, if  
-- |                            enter a blank or null value you get all organizations
-- |  p_to_org_code          -- The inventory organization you copied to, if  
-- |                            enter a blank or null value you get all organizations
-- | 
-- |  Description:
-- |  Report to show the count of item costs by cost type.  Use this report after
-- |  you copy from one cost type to another, to ensure all rows have been copied over.
-- | 
-- |  Version Modified on Modified  by   Description
-- |  ======= =========== ============== =========================================
-- |  1.0     04 May 2017 Douglas Volz   Initial Coding
-- |  1.1     31 Aug 2019 Douglas Volz   Added to and from cost types and org codes
-- +=============================================================================+*/</t>
  </si>
  <si>
    <t>CAC Number of Item Costs by Cost Type</t>
  </si>
  <si>
    <t>Report showing Batch materials in summary for each product, byproduct and ingredient.  Displaying batches which were open during the monthly inventory accounting period or batches which were closed during the monthly inventory accounting period.  If you enter a cost type this report uses the item costs from the cost type; if you leave the cost type blank it uses the item costs from the month-end item costs.
Parameters:
==========
Period Name:  enter the monthly inventory accounting period you wish to report (mandatory).
Cost Type:  enter a Cost Type to value the quantities using the Cost Type item costs; if Cost Type is not entered the report will use the Cost Type from your Fiscal Policies (optional).
OPM Calendar Code:  choose the OPM Calendar Code which corresponds to the period costs you wish to report (mandatory).
OPM Period Code:  enter the OPM Period Code which corresponds to the period costs and OPM Calendar Code you wish to report (mandatory).
Category Sets 1 - 3:  enter up to three item category sets you wish to report (optional).
Item Number:  specific Product, By-Product or Ingredient you wish to report (optional).
Batch Number: enter any batch number which is open or was closed within the date range of the OPM Period Code and Calendar Code (optional).
Batch Status:  to minimize the report size, specify the batch statuses you wish to report (optional).
Batch Number From:  (optional).
Batch Number To:  (optional).
Organization Code:  enter the inventory organization(s), defaults to your session's inventory organization (optional).
Operating Unit:  enter the operating unit(s) you wish to report (optional).
Ledger:  enter the ledger(s) you wish to report (optional).
/* +=============================================================================+
-- | Copyright 2025 Douglas Volz Consulting, Inc.
-- | All rights reserved.
-- | Permission to use this code is granted provided the original author is
-- | acknowledged. No warranties, express or otherwise is included in this permission.
-- +=============================================================================+
-- |
-- | Version Modified on Modified by Description
-- | ======= =========== ============== =========================================
-- | 1.0     22 Jan 2025 Douglas Volz Initial Coding based on client's sample report.
-- +=============================================================================*/
</t>
  </si>
  <si>
    <t>CAC OPM Batch Material Summary</t>
  </si>
  <si>
    <t>eport showing OPM formulas and item costs, by OPM Cost Component Class.   The report automatically displays the first thirty Cost Components, sorted by Usage Indicator (1-Material, 2-Overhead, 3-Resource, 4-Expense Alloc), then by the Cost Component Class.  With the "Other Costs" column summing up any other non-displayed Cost Component Classes.  For a different selection of Cost Component Classes, you may override any of the defaulted Cost Component Classes.  If you have fewer than thirty Cost Components the report automatically displays "Not Available", for the succeeding Cost Component columns.  And if you enter a cost type this report uses the item costs from the cost type; if you leave the cost type blank it uses the item costs from the month-end item costs.
Note:  The Label Approval column is from a user-defined Formula field, attribute4.  Your use of these descriptive flexfields, may be different and may require you to customize this report.
General Parameters:
===================
Cost Type:  enter a Cost Type to value the quantities using the Cost Type item costs; or, if Cost Type is not entered the report will use the stored month-end snapshot values (optional).
OPM Calendar Code:  choose the OPM Calendar Code which corresponds to the inventory accounting period you wish to report (mandatory).
OPM Period Code:  enter the OPM Period Code related to the inventory accounting period and OPM Calendar Code you wish to report (mandatory).
Only Show Latest Version:  enter Yes to report the latest formula and recipe version.  Enter No to see all versions (mandatory).
Show More Details:  enter Yes to display Ingredient Scale Type, Contribute to Yield, Standard Lot Size and End Date (from the validity rule).  Mandatory.
Effective Date:  for material line items and validity rules, enter the last ending date to report.  Defaults to today's date (mandatory).
Status to Include:  to minimize the report size, specify the formula, recipe and validity rule statuses you wish to report (optional).
Product Category Set:  the Product category set you wish to report (optional).
Line Category Set 1:  for the formula line item numbers, the first item category set to report (optional).
Line Category Set 2:  for the formula line item numbers, the second item category set to report (optional)
Item Number:  specific Product, By-Product or Ingredient you wish to report (optional).
Organization Code:  any inventory organization, defaults to your session's inventory organization (optional).
Operating Unit:  specific operating unit (optional).
Ledger:  specific ledger (optional).
Cost Component 1 - 30:  the defaulted Cost Component Classes.  You may override these defaulted values.
-- | Version Modified on Modified by Description
-- | ======= =========== ==============
-- | 1.0     02 Jun 2024 Douglas Volz Initial Coding based on client's sample report.
-- | 1.1     03 Jun 2024 Douglas Volz UOM conversions for formula line quantities
-- | 1.2     08 Jun 2024 Douglas Volz Replaced Cost Component rownum sort logic.
-- | 1.3     12 Jun 2024 Douglas Volz Cleaned-up naming for Cost Component parameters, fixed item number parameter.
-- | 1.4     03 Aug 2024 Douglas Volz Add OPM Cost Organizations to get correct item costs.
-- | 1.5     05 Aug 2024 Douglas Volz Add inventory organization access control security.
-- | 1.6     07 Aug 2024 Douglas Volz Not all formulas are assigned to classes, needs outer join.
-- | 1.7     08 Aug 2024 Douglas Volz Add item status and Make/Buy columns.
-- | 1.8     09 Aug 2024 Douglas Volz Add parameter "Show More Details" for Scale Type, Contribute to Yield, Std Lot Size and End Date.
-- | 1.9     17 Aug 2024 Douglas Volz Add parameters "Only Show Latest Version" and "Effective Date".
-- | 1.10    18 Aug 2024 Douglas Volz Restructured code.
-- | 1.11    07 Sep 2024 Douglas Volz Fixed Cost Component parameters, from lexicals to bind variables.
-- | 1.12    10 Sep 2024 Douglas Volz Add Std Lot Size UOM column.
</t>
  </si>
  <si>
    <t>CAC OPM Costed Formula</t>
  </si>
  <si>
    <t>Oracle Process Manufacturing (OPM) item cost detail: the costed value of each item broken out by cost component class (material, labor, burden, overhead) and cost analysis code, per cost calendar, period and method. Answers what makes up an item's OPM cost.</t>
  </si>
  <si>
    <t>CAC OPM Item Cost Detail</t>
  </si>
  <si>
    <t>Report to show WIP values for process manufacturing (OPM), in summary by inventory organization and batch, with batch status, name and other details.  The valuation accounts come from the cumulative WIP Valuation accounting entries, as processed by Create Accounting.
Parameters:
===========
Period Name:  the inventory accounting period you wish to report (mandatory).
Include Lab Batches:  enter Yes to include laboratory batches.  Enter No to exclude them.  Defaults to No (mandatory).
Show Batch Details:  enter Yes to display the formula, routing and recipe numbers and versions.  Defaults to No (mandatory).
Show Transaction Details: enter Yes to show the Event Class, Transaction Type, Transaction ID and Transaction Date.  Defaults to No (mandatory). 
Batch Number:  enter a specific batch number to report (optional).
Category Set 1:  the first item category set to report, typically the Cost or Product Line Category Set (optional).
Category Set 2:  The second item category set to report, typically the Inventory Category Set (optional).
Organization Code:  any inventory organization, defaults to your session's inventory organization (optional).
Operating Unit:  specific operating unit (optional).
Ledger:  specific ledger (optional).
/* +=============================================================================+
-- |  Copyright 2014 - 2024 Douglas Volz Consulting, Inc.
-- |  All rights reserved.
-- |  Permission to use this code is granted provided the original author is
-- |  acknowledged. No warranties, express or otherwise is included in this permission.
-- +=============================================================================+
-- |
-- |  Original Author: Douglas Volz (doug@volzconsulting.com)
-- | 
-- |  Version Modified on Modified  by   Description
-- |  ======= =========== ============== =========================================
-- |  1.0     22-Oct-2014 Douglas Volz   Initial version.
-- |  1.1     06-Jul-2024 Douglas Volz   Cumulative changes plus format for Blitz Report.
-- |  1.2     31-Jul-2024 Douglas Volz   Fix to get current and prior month's transactions
-- |  1.3     06-Aug-2024 Douglas Volz   Add Batch and Txn Detail parameters.
-- |  1.4     08-Aug-2024 Douglas Volz   Add Product and Byproduct completion quantity columns.
-- |                                     and inventory access control security.
-- |  1.5     17-Aug-2024 Douglas Volz   Fix for reporting batches closed after the reported period.
-- |                                     Add Batch Number parameter.  Display the Ledger short name.
-- +=============================================================================+*/
</t>
  </si>
  <si>
    <t>CAC OPM WIP Account Value</t>
  </si>
  <si>
    <t>Report for onhand inventory at the time you run the report (real-time).  By organization, Lot and Subinventory.  If you leave the Cost Type blank the report will value the inventory using the inventory organization's Costing Method (Standard, Average, FIFO, LIFO).  If you enter a Cost Type the report will use these item costs, plus, if any item costs are missing from the entered Cost Type, get the remaining item costs from the Costing Method Cost Type.  Note that consigned quantities are reported but not valued.  And if you choose to report expense subinventories, they are not valued either.
/* +=============================================================================+
-- | Copyright 2009 - 2020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xxx_inventory_val_rept.sql
-- |
-- |  Parameters:
-- |  p_period_name         -- Accounting period you wish to report for
-- |  p_org_code            -- Specific inventory organization you wish to report (optional)
-- |  p_operating_unit      -- Operating Unit you wish to report, leave blank for all
-- |                           operating units (optional) 
-- |  p_ledger              -- general ledger you wish to report, leave blank for all
-- |                           ledgers (optional)
-- |  p_cost_type           -- Enter a Cost Type to value the quantities
-- |                           using the Cost Type Item Costs; or, if 
-- |                           Cost Type is blank or null the report will 
-- |                           use the stored month-end snapshot values
-- |  p_category_set1       -- The first item category set to report, typically the
-- |                           Cost or Product Line Category Set
-- |  p_category_set2       -- The second item category set to report, typically the
-- |                           Inventory Category Set 
-- |
-- | ===================================================================
-- | Note:  if you enter a cost type this script uses the item costs 
-- |        from the cost type; if you leave the cost type 
-- |        blank it uses the item costs from the month-end snapshot.
-- | ===================================================================
-- | Version Modified on Modified by Description
-- | ======= =========== ============== =========================================
-- | 1.0     27 Sep 2009 Douglas Volz Initial Coding
-- | 1.1     28 Sep 2009 Douglas Volz Added a sum for the ICP costs from cicd
-- | 1.16    23 Apr 2020 Douglas Volz Changed to multi-language views for the item
-- |                                  master, item categories and operating units.
-- |                                  Used mfg_lookups for "Intransit".
-- +=============================================================================+*/</t>
  </si>
  <si>
    <t>CAC Onhand Lot Value (Real-Time)</t>
  </si>
  <si>
    <t>Report to show open purchase orders and related information.  This report will convert any foreign currency purchases into the currency of the general ledger (defaulted from the inventory organization for this session).  Use the To and From Transaction Date parameters to create an average receipt cost and use the Comparison Cost Type parameter to show a comparison 
amounts from another cost type.
Parameters:
===========
Comparison Cost Type: enter the cost type for a comparison against the purchase order prices (optional).  Defaulted from your Costing Method.
Transaction Date From:  starting transaction date for averaging the purchase order receipts (mandatory).  Use these averages for comparing to the PO unit prices.
Transaction Date To:  ending transaction date for averaging the purchase order receipts (mandatory).  Use these averages for comparing to the PO unit prices.
Currency Conversion Date:  enter the currency conversion date to use for converting foreign currency purchases into the currency of the general ledger (mandatory).
Currency Conversion Type:  enter the currency conversion type to use for converting foreign currency purchases into the currency of hhe general ledger (mandatory).
Supplier Name:  specific vendor or supplier you wish to report (optional).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2020 - 2023 Douglas Volz Consulting, Inc. 
-- | All rights reserved. 
-- | Permission to use this code is granted provided the original author is
-- | acknowledged. No warranties, express or otherwise is included in this
-- | permission.
-- +=============================================================================+
-- |        
-- |  Original Author: Douglas Volz (doug@volzconsulting.com)
-- |
-- |  Program Name:  open_po_rept.sql
-- |
-- |  Version Modified on Modified  by   Description
-- |  ======= =========== ============== =========================================
-- |  1.0     09 Sep 2020 Douglas Volz   Initial Coding based on Purchase Price 
-- |                                     variance report, xxx_ppv_lot_rept.sql
-- |  1.1     10 Sep 2020 Douglas Volz   Added inspection flag.
-- |  1.2     01 Dec 2020 Douglas Volz   Added variance and charge accounts
-- |  1.3     20 Dec 2020 Douglas Volz   Added promise date, Need By Date, project,
-- |                                     Expected Receipt Date, Target Price (PO List Price),
-- |                                     Customer Name and difference columns.
-- |                                     And added Minimum Cost Difference parameter.
-- |  1.4     03 Feb 2021 Douglas Volz   Merged OSP with stock purchase orders.
-- |  1.5     05 Feb 2021 Douglas Volz   Added PO averages and item cost information.
-- |  1.6     07 Jul 2022 Douglas Volz   Add multi-language item status.
-- |  1.7     28 Nov 2023 Andy Haack     Remove tabs, add org access controls, fix for G/L Daily Rates, outer joins. 
-- |  1.8     15 Dec 2023 Douglas Volz   Setting the comparison cost type as mandatory, to
-- |                                     prevent a multiple rows error for the comparison cost type.  
-- +=============================================================================+*/</t>
  </si>
  <si>
    <t>CAC Open Purchase Orders</t>
  </si>
  <si>
    <t>Report to display the sales order transaction types with the corresponding receivables (A/R) transaction types.
/* +=============================================================================+
-- |  Copyright 2016 - 2020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xxx_oe_transaction_types.sql
-- |
-- |  Parameters:
-- |  p_operating_unit       -- Operating Unit you wish to report, leave blank for all
-- |                            operating units (optional) 
-- |  p_ledger               -- general ledger you wish to report, leave blank for all
-- |                            ledgers (optional)
-- |  Description:
-- |  Report to display the sales order transaction types with the corresponding
-- |  receivables (A/R) transaction types. 
-- | 
-- |  Version Modified on Modified  by   Description
-- |  ======= =========== ============== =========================================
-- |  1.0     15 Nov 2016 Douglas Volz   Initial Coding
-- |  1.1     09 Jan 2017 Douglas Volz   Added description and Receivables Txn Type
-- |  1.2     11 Jan 2017 Douglas Volz   Added Order Category, Order Type (DFF),
-- |                                     and Disti Plus Pricing (DFF), and add a
-- |                                     new section for Order Types with no COGS
-- |                                     account.
-- |  1.3     14 Mar 2017 Douglas Volz   Changed apps.ra_cust_trx_types to 
-- |                                     apps.ra_cust_trx_types_all, added A/R
-- |                                     revenue account
-- |  1.4     23 Aug 2017 Douglas Volz   Add user-defined field (descriptive flex-
-- |                                     field) for the COGS ICP account, a contra-
-- |                                     account which is used to record the ICP
-- |                                     portion of the COGS entry.
-- |  1.5     13 Mar 2019 Douglas Volz   Added Operating Unit Parameter.
-- |  1.6     22 May 2019 Douglas Volz   Added missing ORG_ID join
-- |  1.7     14 Apr 2020 Douglas Volz   Added creation date to report
-- |  1.8     16 Apr 2020 Douglas Volz   Moved sales ccid joins to outer query
-- |                                     and added Ledger parameter.
-- |  1.9     28 Apr 2020 Douglas Volz   Changed to multi-language views for the
-- |                                     inventory orgs and operating units.
-- +=============================================================================+*/</t>
  </si>
  <si>
    <t>CAC Order Type Setup</t>
  </si>
  <si>
    <t>Report to compare the open purchase order lines and unit prices with the costing method item cost in Oracle (Average, Standard, FIFO or LIFO).  Used by the buyers and cost accounting to check the accuracy of the recently created purchase orders and run using a range of purchase order line creation dates.  Foreign currency purchase orders convert to the inventory organization's currency by either using the original purchase order exchange rate, if the Invoice Match Option is "Purchase Order" or by using the latest exchange rate date if the Invoice Match Option is "Receipt".
Parameters:
===========
Creation Date From:  purchase order starting creation date (mandatory).
Creation Date To: purchase order ending creation date (mandatory).
Cost Type:  enter the cost type you wish to report (mandatory).  Defaults to your Costing Method.
Minimum Value Difference:  the absolute smallest difference you want to report (mandatory).
Minimum Cost Difference:  the absolute smallest difference you want to report (mandatory).
Currency Conversion Type:  enter the currency conversion type for translating PO unit prices, used if the Invoice Match Option is "Receipt", defaults to Corporate (mandatory).
Currency Conversion Date:  enter the currency conversion date for translating PO unit prices, used if the Invoice Match Option is "Receipt" (mandatory).
Category Set 1:  the first item category set to report, typically the Cost or Product Line Category Set (optional).
Category Set 2:  the second item category set to report, typically the Inventory Category Set (optional).
Item Number:  enter the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2006-2024 Douglas Volz Consulting, Inc.
-- |  All rights reserved.
-- |  Permission to use this code is granted provided the original author is
-- |  acknowledged. No warranties, express or otherwise is included in this
-- |  permission.
-- +=============================================================================+
-- |
-- |  Original Author: Douglas Volz (doug@volzconsulting.com
-- | 
-- |  Version Modified on Modified  by   Description
-- |  ======= =========== ============== =========================================
-- |  1.0     02 APR 2006 Douglas Volz   Initial Coding
-- |  1.17    13 Jun 2017 Douglas Volz   Added OSP Resource Code
-- |  1.18    19 Aug 2019 Douglas Volz   Removed non-generic item categories
-- |  1.19    27 Jan 2020 Douglas Volz   Changed to multi-language views for the item
-- |                                     master, inventory orgs and operating units.
-- |                                     Added project number to report.
-- |  1.20    19 Dec 2020 Douglas Volz   Add these columns: PO Need By Date, PO Promise Date,
-- |                                     PO Expected Receipt Date, Target Price (PO List Price),
-- |                                     Customer Name (description for category set 1).  
-- |                                     And added Minimum Cost Difference parameter.
-- |  1.21    22 Dec 2020 Douglas Volz   Changed the item cost "union all" to just "union", 
-- |                                     which eliminated a full table scan on cst_item_costs.
-- |  1.22    02 Nov 2023 Douglas Volz   Add Cost Type as a parameter, remove tabs and
-- |                                     add org access controls.
-- |  1.23    18 Jul 2024 Douglas Volz   Fix for Percent Difference calculation.
-- +=============================================================================+*/</t>
  </si>
  <si>
    <t>CAC PO Price vs. Costing Method Comparison</t>
  </si>
  <si>
    <t>Report to show Purchase Order (PO) Receipt History for non-Standard Cost inventory organizations, by PO receipt date range.  You may also use this report for Standard Cost organizations but the CAC PO Receipt History for Item Costing report may be a better choice, as the following columns will have zero or empty values for Standard Cost organizations:  prior costed quantity, prior cost and new onhand quantity.
/* +=============================================================================+
-- | Copyright 2006 - 2022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xxx_item_cost_history.sql
-- |
-- |  Parameters:
-- |  p_org_code             -- Specific inventory organization you wish to report (optional)
-- |  p_trx_date_from        -- Starting transaction date for the PO Receipt History
-- |  p_trx_date_to          -- Ending transaction date for the PO Receipt History
-- |  p_item_number          -- Enter a specific item number to review.  If you 
-- |                            enter a blank or null value you get all items.
-- |  p_category_set1        -- The first item category set to report, typically the
-- |                            Cost or Product Line Category Set
-- |  p_category_set2        -- The second item category set to report, typically the
-- |                            Inventory Category Set
-- |  p_operating_unit       -- Operating Unit you wish to report, leave blank for all
-- |                            operating units (optional) 
-- |  p_ledger               -- general ledger you wish to report, leave blank for all
-- |                            ledgers (optional)
-- |
-- | Description:
-- | Report to show PO Receipt History for non-standard cost inventory organizations,
-- | by PO receipt date range.
-- |
-- | Version Modified on Modified by Description
-- | ======= =========== ============== =========================================
-- | 1.0     28 May 2006 Douglas Volz   Initial Coding based on item_cost_history.sql
-- | 1.1     04 Jan 2019 Douglas Volz   Added transaction date range, inventory
-- |                                    org and specific item parameters.
-- | 1.2     30 Aug 2019 Douglas Volz   Add Ledger, Operating Unit, Item Type, Status
-- |                                    and item categories for cost and inventory.
-- | 1.3     27 Jan 2020 Douglas Volz   Added Org Code and Operating Unit parameters.
-- | 1.4     05 Jul 2022 Douglas Volz   Modify for multi-language tables, change UOM to
-- |                                    primary, and changes for Non-Standard Costing.
-- +=============================================================================+*/</t>
  </si>
  <si>
    <t>CAC PO Receipt History for Actual Costing</t>
  </si>
  <si>
    <t>Report to show Purchase Order (PO) Receipt History for inventory organizations, for a selected PO receipt date range.  If the Comparison Cost Type is not entered the report uses the Cost Type from the Primary Costing Method, such as Frozen, Average, FIFO or LIFO.  And note you may use this report for any discrete costing method but the CAC PO Receipt History for Actual Costing report may be a better choice for Average, FIFO and LIFO Costing, as additional information is available, such as the prior costed quantity, prior cost and new onhand quantity.
Parameters:
===========
Transaction Date From:  enter the starting transaction date for PO Receipt History (mandatory).
Transaction Date To:  enter the ending transaction date for PO Receipt History (mandatory).
Comparison Cost Type: enter the cost type to compare against the PO receipts (optional).  If the Comparison Cost Type is not entered the report uses Cost Type from the Primary Costing Method.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2006 - 2023 Douglas Volz Consulting, Inc.
-- | All rights reserved.
-- | Permission to use this code is granted provided the original author is
-- | acknowledged. No warranties, express or otherwise is included in this permission.                                                                 
-- +=============================================================================+
-- |
-- | Version Modified on Modified by Description
-- | ======= =========== ============== =========================================
-- | 1.0     28 May 2006 Douglas Volz   Initial Coding based on item_cost_history.sql
-- | 1.1     04 Jan 2019 Douglas Volz   Added transaction date range, inventory
-- |                                    org and specific item parameters.
-- | 1.2     30 Aug 2019 Douglas Volz   Add Ledger, Operating Unit, Item Type, Status
-- |                                    and item categories for cost and inventory.
-- | 1.3     27 Jan 2020 Douglas Volz   Added Org_Code and Operating_Unit parameters.
-- | 1.4     05 Jul 2022 Douglas Volz   Modify for multi-language tables, change UOM to
-- |                                    primary, and changes for Standard Costing.
-- | 1.5     01 Sep 2022 Douglas Volz   Add supplier information to report.
-- | 1.6     13 Dec 2022 Douglas Volz   Fix supplier type and cost type logic.
-- | 1.7     11 Sep 2023 Douglas Volz   Added Transaction Type to report.
-- +=============================================================================+*/</t>
  </si>
  <si>
    <t>CAC PO Receipt History for Item Costing</t>
  </si>
  <si>
    <t>Report for Purchase Price Variance accounting entries for external inventory purchases, external outside processing purchases, (internal) intransit shipments, (internal) direct organization transfers and transfer to regular (consignment) transactions.  The FOB point indicates when title passes to the receiving organization and it also determines which internal transfer transaction gets the PPV.  With FOB Shipment, PPV happens on the Intransit Shipment transaction.  With FOB Receipt, PPV happens on the Intransit Receipt transaction.  And if you enter PO receipts by lot numbers this report splits out the PPV variances by lot number.  The PPV Cost Amount column indicates PPV due to only cost differences; the PPV FX Amount column indicates PPV due to differences between the original PO currency exchange rate and the material transaction's daily exchange rate.
Parameters:
===========
Transaction Date From:  enter the starting transaction date (mandatory).
Transaction Date To:  enter the ending transaction date (mandatory).
Currency Conversion Type:  enter the currency conversion type to use for converting foreign currency purchases into the currency of hhe general ledger (mandatory).
Category Sets 1-3:  any item category you wish, typically the Cost, Product Line or Inventory category sets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2010-25 Douglas Volz Consulting, Inc.
-- | All rights reserved.
-- | Permission to use this code is granted provided the original author is
-- | acknowledged. No warranties, express or otherwise is included in this permission.
-- +=============================================================================+
-- |
-- |  Original Author: Douglas Volz (doug@volzconsulting.com)
-- |  ======= =========== ============== =========================================
-- |  1.0     26 Jan 2010 Douglas Volz   Initial Coding
-- |  1.17    01 Jan 2021 Douglas Volz   Added Section 5 PPV for Transfer to Regular transactions.
-- |  1.18    08 Jan 2021 Douglas Volz   Removed redundant joins and tables to improve performance.
-- |  1.19    14 Dec 2021 Douglas Volz   Bug fix, Section I and V were both picking up
-- |                                     Transfer to Regular PPV transactions
-- |  1.20    21 Jun 2022 Douglas Volz   Add PO Line and PO Shipment Line Creation Date.
-- |  1.21    04 Apr 2022 Andy Haack     Added organization security restriction by org_access_view oav.
-- |  1.22    10 May 2023 Douglas Volz   Fix PPV calculations for RTV and Receipt Adjustment transactions.
-- |  1.23    13 Jan 2024 Douglas Volz   Rewrite report code for single material and WIP transaction pass,
-- |                                     add Transaction Exchange Rate, PPV Cost Amount and PPV FX columns,
-- |                                     improve performance and fix PPV amount and percent calculations.
-- |  1.24    24 Jan 2024 Douglas Volz   Rename column Standard Unit Cost to Standard Purchase Unit Cost.
-- |  1.25    30 May 2025 Douglas Volz   Bug fix for PO Unit Price, added in Clearing Accounting Line Type.
-- |  1.26    16 Jun 2025 Douglas Volz   Bug fix for Intransit Shipment and Internal Order Intransit
-- |                                     Shipment transaction types.
+=============================================================================+*/</t>
  </si>
  <si>
    <t>CAC Purchase Price Variance</t>
  </si>
  <si>
    <t>Report to get the receiving accounting distributions, in detail, by item, purchase order, purchase order line, release, project number, transaction date, creation date, created by and transaction identifier.  With the Show SLA Accounting parameter you can choose to use the Release 12 Subledger Accounting (Create Accounting) account setups by selecting Yes.  And if you have not modified your SLA accounting rules, select No to allow this report to run a bit faster.  With Show WIP Outside Processing parameter to display or not display WIP outside processing information (WIP job and OSP resource code) and Show Project Information to display or not display the project, project name and task.  And if you accrue expense receipts at time of receipt, for expense destinations when there is no item number, this report will get the expense category information and put it into the columns for the first category.
(Note: this report has not been tested with encumbrance entries.)
Parameters:
===========
Transaction Date From:  enter the starting transaction date (mandatory).
Transaction Date To:  enter the ending transaction date (mandatory).
Show SLA Accounting:  enter Yes to use the Subledger Accounting rules for your accounting information.  If you choose No the report uses the pre-Create Accounting entries.
Show Projects:  display the project, project name and task.  Enter Yes or No, use to limit the reported columns (mandatory).
Show WIP Outside Processing:  display the WIP job and outside processing resource.  Enter Yes or No, use to limit the reported columns (mandatory).
Category Set 1:  any item category you wish, typically the Cost or Product Line category set (optional).
Category Set 2:  any item category you wish, typically the Inventory category set (optional).
Transaction Type:  enter the transaction type to report (optional).
Minimum Absolute Amount:  enter the minimum debit or credit to report (optional).  To see all accounting entries, enter zero (0) and leave the other parameters blank.
Supplier Name:  enter the specific supplier you wish to report (optional).
PO Number:  enter the specific purchase order number you wish to report (optional).
Destination Code:  enter the purchase order destination type you wish to report (optional).  You can choose Inventory, Expense or Shop Floor (WIP outside processing).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2010 - 2022 Douglas Volz Consulting, Inc.
-- |  Permission to use this code is granted provided the original author is
-- |  acknowledged.  No warranties, express or otherwise is included in this
-- |  permission.
-- +=============================================================================+
-- |
-- |  Original Author: Douglas Volz (doug@volzconsulting.com)
-- |
-- |  Program Name:  xxx_rcv_dist_xla_detail_rept.sql
-- |
-- |  Version Modified on Modified  by   Description
-- |  ======= =========== ============== =========================================
-- |  1.0     05 Apr 2010 Douglas Volz   Initial Coding based on XXX_RCV_DIST_XLA_SUM_REPT.sql
-- |  1.18    21 Aug 2022 Douglas Volz   Streamline dynamic SQL code.
-- |  1.19    03 Sep 2022 Douglas Volz   Add Accounting Line Type, Transaction Type and Minimum Amount parameters.
-- |                                     And language translations for Accounting Line Types.
-- |  1.20   08 Oct 2022 Douglas Volz    Add project task information.
-- +=============================================================================+*/
</t>
  </si>
  <si>
    <t>CAC Receiving Account Detail</t>
  </si>
  <si>
    <t>Report to get the receiving accounting distributions, in summary, by item, purchase order, purchase order line, release and project number.  With the Show SLA Accounting parameter you can choose to use the Release 12 Subledger Accounting (Create Accounting) account setups by selecting Yes.  And if you have not modified your SLA accounting rules, select No to allow this report to run a bit faster.  With parameters to limit the report size, to display or not display purchase information (purchase order, line, release) and WIP outside processing information (WIP job and OSP resource code).  And if you accrue expense receipts at time of receipt, for expense destinations when there is no item number, this report will get the expense category information and put it into the columns for the first category set.
(Note: this report has not been tested with encumbrance entries.)
Parameters:
===========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Purchase Orders:  display the purchase order, line and release information.  Enter Yes or No, use to limit the report size (mandatory).
Show Projects:  display the project number and name.  Enter Yes or No, use to limit the report size (mandatory).
Show WIP Outside Processing:  display the WIP job and outside processing resource.  Enter Yes or No, use to limit the report size (mandatory).
Category Set 1:  any item category you wish, typically the Cost or Product Line category set (optional).
Category Set 2:  any item category you wish, typically the Inventory category set (optional).
Supplier Name:  enter the specific supplier you wish to report (optional).
PO Number:  enter the specific purchase order number you wish to report (optional).
Destination Code:  enter the purchase order destination type you wish to report (optional).  You can choose Inventory, Expense or Shop Floor (WIP outside processing).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2009- 2022 Douglas Volz Consulting, Inc.
-- |  All rights reserved.
-- |  Permission to use this code is granted provided the original author is
-- |  acknowledged.  No warranties, express or otherwise is included in this
-- |  permission. 
-- +=============================================================================+
-- | 
-- |  Version Modified on Modified  by   Description
-- |  ======= =========== ============== =========================================
-- |  1.0     06 Nov 2009 Douglas Volz   Initial Coding
-- |  1.15    17 Sep 2021 Douglas Volz   Parameter changes, adding item number, PO number.
-- |  1.16    08 Jul 2022 Douglas Volz   Subledger Accounting performance improvements
-- |                                     and parameter to show or not show PO information.
-- |  1.17    14 Aug 2022 Douglas Volz   Revision for expense/no item receipts.
-- |                                     Combine SLA and Non-SLA Receiving Acct Reports.  Make
-- |                                     Show SLA, Show PO and Show WIP OSP dynamic SQL parameters.
-- |  1.18    21 Aug 2022 Douglas Volz   Streamline dynamic SQL code.
-- |  1.19    03 Sep 2022 Douglas Volz   Language translations for Accounting Line Types.
-- +=============================================================================+*/
</t>
  </si>
  <si>
    <t>CAC Receiving Account Summary</t>
  </si>
  <si>
    <t>Especially for companies who do not use separate inspection receipt processes, this report nets the initial purchase order receipt into receiving against the delivery into stock and WIP outside processing (OSP), for the entered transaction date range.  By comparing the Purchasing Receipt transactions with the Purchasing Delivery transactions (for the purchasing receipts, material deliveries and WIP OSP deliveries).  Enter the date range you wish to compare, typically a monthly date range.  Differences may be due to the initial receipt occurring in the prior month, not running Create Accounting in the current month (as this report uses the Subledger Accounting rules to report your Receiving Valuation Activity), the goods never delivered into stock or OSP or perhaps the delivery into stock or into WIP OSP was not processed by Create Accounting.
Parameters:
==========
Transaction Date From:  enter the starting transaction date (mandatory).  Defaults to the current period starting date.
Transaction Date To:  enter the ending transaction date (mandatory).  Defaults to the current period ending date.
Organization Code:  enter the specific inventory organization(s) you wish to report (optional).  Defaults to your session's organization code.
Operating Unit:  enter the specific operating unit(s) you wish to report (optional).
Ledger:  enter the specific ledger(s) you wish to report (optional).
/* +=============================================================================+
-- |  Copyright 2010 - 2024 Douglas Volz Consulting, Inc.
-- |  All rights reserved.
-- |  Permission to use this code is granted provided the original author is
-- |  acknowledged.  No warranties, express or otherwise is included in this permission.                                                                |
-- +=============================================================================+
-- |
-- |  Original Author: Douglas Volz (doug@volzconsulting.com)
-- |
-- |  Program Name:  xxx_rcv_activity_rept.sql
-- | 
-- |  Version Modified on Modified  by   Description
-- |  ======= =========== ============== =========================================
-- |  1.0      6 Jan 2010 Douglas Volz   Initial Coding
-- |  1.1     05 Apr 2010 Douglas Volz   Added PO number, PO Distribution id to query
-- |  1.2     25 Oct 2017 Douglas Volz   Now use the receiving parameter Receiving ccid
-- |                                     and added transaction source.
-- |  1.3     13 Mar 2018 Douglas Volz   Added Ledger parameter
-- |  1.4     08 Jul 2022 Douglas Volz   Multi-language tables for item master.
-- |  1.5     24 Jun 2024 Douglas Volz   Remove tabs, reinstall parameters and inventory org access controls.
-- +=============================================================================+*/
</t>
  </si>
  <si>
    <t>CAC Receiving Activity Summary</t>
  </si>
  <si>
    <t>Report to show receiving value for expense locations and expense destination types, for expenses accrued at time of receipt.  You may run this report for open or closed accounting periods.  If run for a prior period the report automatically rolls back the quantities and values to the prior period's period end date.  if run for a current period, the report shows the real-time quantities and values.  This report displays both the receiving valuation account as well as the offset (expense or CapEx) account.
Parameters:
Period Name:  the accounting period you wish to report (mandatory).
Category Sets 1 - 3:  any item category you wish (optional)
Supplier Name: enter a supplier name to report (optional)
Item Number:  enter an item number to report (optional)
Organization Code:  specific inventory organization to report (optional)
Operating Unit:  specific operating unit (optional)
Ledger:  specific ledger (optional)
/* +=============================================================================+
-- |  Copyright 2010-25 Douglas Volz Consulting, Inc.
-- |  All rights reserved.
-- |  Permission to use this code is granted provided the original author is
-- |  acknowledged.  No warranties, express or otherwise is included in this
-- |  permission.
-- +=============================================================================+
-- |
-- |  Original Author: Douglas Volz (doug@volzconsulting.com) 
-- | 
-- |  Version Modified on  Modified  by   Description
-- |  ======= =========== ============== =========================================
-- |      1.0  5 Jul 2010 Douglas Volz   Created initial Report for Celgene
-- |                                     based on XXX_IPV_RCV_VALUE_REPT.sql
-- |      1.1  5 Jul 2010 Douglas Volz   Added requisition, requestor and requestor
-- |                                     email address
-- |      1.2 15 Sep 2010 Douglas Volz   Added unit of measure, supplier, buyer columns.
-- |                                     Fix for parameter changes for BO Freehand SQL requirements,
-- |                                     changing the code to accept null or % or value GL Ledger names.
-- |      1.3 27 Sep 2010 Douglas Volz   Changed the report sort to include the offset accounts
-- |      1.4 04 Jan 2012 Douglas Volz   Fixed quantities to sum up rcv_receiving_sub_ledger,
-- |                                     as the view rcv_receiving_value_view and
-- |                                         rcv_transactions does not split out quantities by
-- |                                     po distributions.  For expenses you can have multiple expense
-- |                                     accounts or distributions for each scheduled receipt
-- |                                     in po_line_locations
-- |      1.5 08 Feb 2012 Douglas Volz   Rewrite code to fix quantity and amounts, mtl_supply does
-- |                                     not handle split rcv_transations, split by multiple 
-- |                                     po_distribution_ids.  It only stores one of the PODs for
-- |                                     expenses.
-- |      1.6 06 Jan 2020 Douglas Volz   Added item categories, Org Code and Operating Unit parameters.
-- |      1.7 29 May 2025 Douglas Volz   Removed tabs, added Blitz G/L and OU security..
-- |      1.8 15 Oct 2025 Douglas Volz   Changed inventory periods to PO financial periods.
-- |                                     Added non-recoverable tax amounts into PO prices.
-- |                                     And changed Period Name parameter to use INV Periods
-- |                                     which also include the master inventory org.
-- +=============================================================================+*/</t>
  </si>
  <si>
    <t>CAC Receiving Expense Value (Period-End)</t>
  </si>
  <si>
    <t>Report to show receiving value for all locations, as of the end of an accounting period.  You may run this report for open or closed accounting periods.  With parameters to display or not display WIP outside processing information (WIP job, status, close date and OSP resource code).  If run for a prior period the report automatically rolls back the quantities and values to the prior period's period end date.  In addition, for any receipt with an item number, this report displays Inventory, Shop Floor (Outside Processing) and Expense destination types.
Note:  The Adjustment Amount column show differences between the PO unit price for the Receipt and Deliver transactions, which currently is not included in the receiving accounting entries. 
Reconciliation Notes to Oracle Reports:
The Oracle All Inventory Values Report does not display Shop Floor (Outside Processing) or Expense destination types.  
If the PO line is closed, the Oracle Receiving Value Report does not display Expense destination types, even if the receipt is still in receiving and has not been delivered.
Parameters:
Period Name:  the accounting period you wish to report (mandatory).
Show WIP Outside Processing:  display WIP job details for outside processing, enter Yes or No (mandatory).
Category Set 1:  any item category you wish (optional).
Category Set 2:  any item category you wish (optional).
Item Number:  specific item you wish to report (optional)
Organization Code:  specific inventory organization to report (optional)
Operating Unit:  specific operating unit (optional)
Ledger:  specific ledger (optional)
Product Line Accounting:  use this parameter to tell the report if you have set up product line accounting information in your item master accounts.  Enter Yes or No.
Product Line Segment:  use this parameter to tell the report which segment to use to find the product line information.  If the Product Line Accounting parameter is set to No this parameter is grayed out and not required.
Item Master Account Type:  use this parameter to determine if you store your product line information in your item master Expense, Cost of Sales or Sales Accounts.  If the Product Line Accounting parameter is set to No this parameter is grayed out and not required.
/* +=============================================================================+
-- |  Copyright 2009 - 2025 Douglas Volz Consulting, Inc. and Enginatics GmbH
-- |  All rights reserved. 
-- |  Version Modified on Modified  by   Description
-- |  ======= =========== ============== =========================================
-- |     1.0  25 Nov 2009 Douglas Volz   Created initial Report for client
-- |                                     based on xxx_inv_value.sql
-- |     1.36 10 Aug 2022 Douglas Volz   Performance improvements for main query.  Allow expense
-- |                                     receipts with items, add PO line status column.
-- |     1.37 12 Aug 2022 Douglas Volz   Add parameter to Show WIP OSP columns and remove extra
-- |                                     join to the item master table.
-- |     1.38 16 Aug 2022 Douglas Volz   Fixes for quantities for Correction transactions and
-- |                                     for when the PO unit price is zero.
-- |     1.39 02 Jun 2025 Douglas Volz   Removed tabs.
-- |     1.40 05 Jun 2025 Douglas Volz   Added section 1.6 for PO unit price differences between
-- |                 Piyush Khandelwal   the PO Receipt and the PO Deliver transactions.  Put
-- |                                     this into an "Adjustment Amount" column, as this is
-- |                                     included in the Oracle Receiving Value Report but is
-- |                                     not recorded on any Receiving Accounting entry.
-- |                                     Also added in inventory org access, XXEN G/L and OU security profiles.
-- +=============================================================================+*/</t>
  </si>
  <si>
    <t>CAC Receiving Value (Period-End)</t>
  </si>
  <si>
    <t>Report to compare the "as transacted" cost of goods sold (COGS) transactions in Oracle Inventory with the "what if" costs from a simulation cost type.  Use this report when you need to make manual journal entry corrections to your COGS entries, due to incorrect item costs.  In addition to reporting the normal COGS entries for the COGS Recognition, Sales Order Issue, RMA Receipt and RMA Return transactions, you can also report user-defined material transactions such as Account Issues/Receipts, Miscellaneous Issues/Receipts and Account Alias transactions which could represent COGS entries from other ERP Systems.  To report additional user-defined transactions enter these along with the defaulted values for the COGS Transaction Type parameter:  COGS Recognition, Sales Order Issue, RMA Receipt and RMA Return.
Note:  in order for COGS entries to be reported you must first run Create Accounting.
Parameters:
===========
Transaction Date From:  enter the starting transaction date for COGS transactions (mandatory).
Transaction Date To:  enter the ending transaction date for PO COGS transactions (mandatory).
COGS Transaction Types:  enter the COGS related transaction types you wish to report (mandatory).
Recost Cost Type:  enter the cost type you wish to use to recost your COGS transactions (mandatory).
Minimum Value Difference:  the absolute smallest COGS difference you want to report (mandatory).
Category Set 1:  any item category you wish, typically the Cost or Product Line category set (optional).
Category Set 2:  any item category you wish, typically the Inventory category set (optional).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2006- 2023 Douglas Volz Consulting, Inc.
-- |  All rights reserved.
-- |  Permission to use this code is granted provided the original author is
-- |  acknowledged.  No warranties, express or otherwise is included in this
-- |  permission.
-- +=============================================================================+
-- |
-- |  Original Author: Douglas Volz (doug@volzconsulting.com)
-- |
-- |  Program Name:  xxx_recost_cogs_detail_rept.sql
-- |
-- |  Version Modified on Modified  by   Description
-- |  ======= =========== ============== =========================================
-- |  1.0     02 Apr 2006 Douglas Volz   Initial Coding
-- |  1.1     28 Apr 2006 Douglas Volz   Final Coding
-- |  1.2     02 May 2017 Douglas Volz   Modified for Client's use, added inline table
-- |                                     to get one row for COGS accounting entries, to
-- |                                     to get the mmt correct qty and avoid cross-joining.
-- |  1.3     13 Nov 2023 Douglas Volz   Modified for organization access, removed tabs and
-- |                                     added subledger accounting ccids.
-- |  1.4     16 Nov 2023 Douglas Volz   Remove org_acct_periods, use period name from xla_ae_headers.
-- |  1.5     05 Dec 2023 Douglas Volz   Added G/L and Operating Unit security restrictions.
-- |  1.6     12 Mar 2024 Douglas Volz   Add cost elements for COGS per client request.
-- +=============================================================================+*/</t>
  </si>
  <si>
    <t>CAC Recost Cost of Goods Sold</t>
  </si>
  <si>
    <t>Report to show the resource and outside processing costs by organization and cost type.
Parameters:
Cost Type:  enter the cost type you wish to report, defaults to your Costing Method (mandatory).
Include Non-Costed Resources:  choose No to exclude non-costed resources, choose Yes to include them.  You normally use non-costed resources for scheduling purposes (mandatory).
Organization Code:  enter the specific inventory organization(s) you wish to report (optional).
Operating Unit:  enter the specific operating unit(s) you wish to report (optional).
Ledger:  enter the specific ledger(s) you wish to report (optional).
/* +=============================================================================+
-- |  Copyright 2006-2023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xxx_resource_costs_rept.sql
-- |
-- |  Version Modified on Modified  by   Description
-- |  ======= =========== ============== =========================================
-- |  1.0     18 Nov 2010 Douglas Volz   Initial Coding
-- |  1.1     15 Dec 2010 Douglas Volz   Final Coding
-- |  1.2     28 Dec 2010 Douglas Volz   Removed condition to omit Orgs 108, 109, 110 
-- |                                     and 331 as these may be used at any time
-- |  1.3     18 Nov 2015 Douglas Volz   Removed organization restrictions
-- |  1.4     15 Nov 2016 Douglas Volz   Added DFF for Resource_Type, changed
-- |                                     cancatenated segments to separate columns.
-- |  1.5     18 Nov 2016 Douglas Volz   Added Activity to this report
-- |  1.6     16 Feb 2017 Douglas Volz   Added Creation_Date and Who Created
-- |  1.7     17 Feb 2017 Douglas Volz   Add Resource_Description
-- |  1.8     18 Sep 2019 Douglas Volz   Added last update by and last update date
-- |  1.9     27 Jan 2020 Douglas Volz   Changed to multi-language views for the item
-- |                                     master, inventory orgs and operating units.
-- |  1.10    21 Jul 2021 Douglas Volz   Add Basis Type, UOM Code and changed Allow
-- |                                     Costs and Std Rate to lookup codes.
-- |  1.11    11 Oct 2023 Douglas Volz   Modified for invalid created by, invalid 
-- |                                     last updated by and invalid code_combination_id
-- |                                     values, to ensure resources are reported.
-- |                                     Removed tabs and added inventory org access controls.
-- |                                     Reversed revision 1.4, added back concatentated
-- |                                     account number values.
-- +=============================================================================+*/</t>
  </si>
  <si>
    <t>CAC Resource Costs</t>
  </si>
  <si>
    <t>Report to show which resources are associated with which overheads and which resources are associated with which departments.  And find any resources which do not have any overhead associations.  If there are no overhead associations the first report column will say "Missing".
If the resource/overhead association exists, the first column of the report will say "Set Up".
Note:  if a resource does not have a cost, the Resource Rate column has a blank or empty value.
Parameters:
===========
Resource/Overhead Cost Type:  enter the cost type you wish to report for your resources and overheads.  If left blank, depending on your Costing Method, it defaults to your AvgRates or Frozen Cost Type (optional).
Category Set 1:  any item category you wish, typically the Cost or Product Line category set (optional).
Category Set 2:  any item category you wish, typically the Inventory category set (optional).
Organization Code:  enter the specific inventory organization(s) you wish to report (optional).
Operating Unit:  enter the specific operating unit(s) you wish to report (optional).
Ledger:  enter the specific ledger(s) you wish to report (optional).
/* +=============================================================================+
-- |  Copyright 2016 - 2024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xxx_res_ovhd_setup.sql
-- | 
-- |  Version Modified on Modified  by   Description
-- |  ======= =========== ============== =========================================
-- |  1.0     11 Nov 2016 Douglas Volz   Initial Coding
-- |  1.1     16 Jun 2017 Douglas Volz   Add check for resources which are not
-- |                                     associated with overheads and added the
-- |                                     resource cost element.
-- |  1.2     17 Jul 2018 Douglas Volz   Made Cost Type parameter optional
-- |  1.3     16 Jan 2020 Douglas Volz   Added org code and operating unit parameters.
-- |  1.4     20 Apr 2020 Douglas Volz   Make Cost Type default work for all cost methods
-- |  1.5     09 Jul 2022 Douglas Volz   Changes for multi-language lookup values.
-- |  1.6     22 Jan 2024 Douglas Volz   Add with statement for cst_resource_costs, overheads
-- |                                     were not reported if the resource cost was missing.
-- |                                     Added resource "Allow Costs" column.  Removed
-- |                                     tabs and added inventory access controls.
-- |  1.7     31 Jan 2024 Douglas Volz   Add Currency Code, Resource Type and Charge Type columns.
-- +=============================================================================+*/</t>
  </si>
  <si>
    <t>CAC Resources Associated with Overheads Setup</t>
  </si>
  <si>
    <t>Report to show which resources are assigned to which departments.  With the respective resource rates as well.
/* +=============================================================================+
-- |  Copyright 2016 - 2022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xxx_resources_by_dept.sql
-- |
-- |  Parameters:
-- |  p_org_code         -- Specific inventory organization you wish to report (optional)
-- |  p_operating_unit   -- Operating Unit you wish to report, leave blank for all
-- |                        operating units (optional) 
-- |  p_ledger           -- general ledger you wish to report, leave blank for all
-- |                        ledgers (optional)
-- |  p_cost_type        -- Enter Pending or Frozen or AvgRates for the Cost Type.  
-- |                        Optional, defaults to your AvgRates or Frozen Cost Type,
-- |                        depending on your Costing Method.
-- |  Description:
-- |  Report to show which resources are assigned to which departments.
-- | 
-- |  Version Modified on Modified  by   Description
-- |  ======= =========== ============== =========================================
-- |  1.0     21 Jan 2017 Douglas Volz   Initial Coding
-- |  1.1     20 Jan 2020 Douglas Volz   Add operating unit and org code parameters.
-- |  1.2     20 Apr 2020 Douglas Volz   Make Cost Type default work for all cost methods
-- +=============================================================================+*/</t>
  </si>
  <si>
    <t>CAC Resources by Department Setup</t>
  </si>
  <si>
    <t>Report to show accounts used for the inter-org shipping network.  If the accounts are missing or invalid the account segments are shown as blank entries.
/* +=============================================================================+
-- |  Copyright 2009 - 2020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xxx_interorg_setup_accts_rept.sql
-- |
-- |  Parameters:
-- |  p_from_org_code       -- Specific from inventory organization you wish to report (optional)
-- |  p_from_operating_unit -- From operating Unit you wish to report, leave blank for all
-- |                           operating units (optional) 
-- |  p_ledger              -- general ledger you wish to report, leave blank for all
-- |                           ledgers (optional) 
-- |  Description:
-- |  Report to show accounts used for the inter-org shipping network.  If the
-- |  accounts are missing or invalid the account segments are shown as blank entries.
-- | 
-- |  Version Modified on Modified  by   Description
-- |  ======= =========== ============== =========================================
-- |  1.0     24 Nov 2009 Douglas Volz   Initial Coding
-- |  1.1     28 Oct 2010 Douglas Volz   Added ledger parameter
-- |  1.2     25 Sep 2014 Douglas Volz   Removed mfg_lookup for FOB point, was 
-- |                                     skipping direct transfers
-- |  1.3     07 Jan 2015 Douglas Volz   Minor bug fixes
-- |  1.4     08 Oct 2015 Douglas Volz   Modify for latest client's COA
-- |  1.5     06 Oct 2016 Douglas Volz   Modified for latest client's COA
-- |  1.6     16 Jan 2017 Douglas Volz   Added Internal Order Flag Required,
-- |                                     Elemental Visibility Enabled and
-- |                                     Profit in Inventory Account
-- |  1.7     21 Jan 2017 Douglas Volz   Added Manual Receipt required for expenses flag
-- |  1.8     17 Jul 2018 Douglas Volz   Modified chart of accounts for client
-- |  1.9     16 Oct 2018 Douglas Volz   Retrofitted to Release 11i and added To-Org
-- |                                     Operating Unit
-- |  1.10    18 Oct 2018 Douglas Volz   Added InterOrg Transfer Code and Percentage
-- |  1.11    11 Jul 2019 Douglas Volz   Changed to G/L short name, chg to Release 12
-- |  1.12    17 Jan 2020 Douglas Volz   Add Org Code and Operating Unit parameters.
-- |  1.13    20 Apr 2020 Douglas Volz   Add outer join for gl code combinations, for
-- |                                     invalid or missing accounts (CCIDs).
-- |  1.14    27 Apr 2020 Douglas Volz   Changed to multi-language views for the 
-- |                                     inventory orgs and operating units.
-- +=============================================================================+*/</t>
  </si>
  <si>
    <t>CAC Shipping Network (Inter-Org) Accounts Setup</t>
  </si>
  <si>
    <t>Report to show the missing inventory intercompany operating unit relationships.  This report has no parameters.
/* +=============================================================================+
-- |  Copyright 2009 - 2020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xxx_missing_interco_setups_for_shipping_networks_v1.sql
-- |
-- |  Parameters:
-- |  None
-- | 
-- |  Description:
-- |  Report to show the missing inventory intercompany operating unit relationships.
-- | 
-- |  Version Modified on Modified  by   Description
-- |  ======= =========== ============== =========================================
-- |  1.0     16 Oct 2018 Douglas Volz   Initial Coding
-- |  1.1     11 Apr 2019 Douglas Volz   Revert to Release 12
-- |  1.2     29 Apr 2020 Douglas Volz   Changed to multi-language views for the 
-- |                                     inventory orgs and operating units.
-- +=============================================================================+*/</t>
  </si>
  <si>
    <t>CAC Shipping Networks Missing Interco OU Relationships</t>
  </si>
  <si>
    <t>Report to show the Standard Cost Update submissions, by Cost Update Date.  Including the parameters used and the overall inventory and WIP adjustment values.
Parameters:
Cost Update Date From:  starting cost update date, based on standard cost submission history (required).
Cost Update Date To: ending cost update date, based on standard cost submission history (required).
From Cost Type:  enter the cost type implemented by the Standard Cost Update into the Frozen costs (optional).
Organization Code:  enter the specific inventory organization(s) you wish to report (optional).
Operating Unit:  enter the specific operating unit(s) you wish to report (optional).
Ledger:  enter the specific ledger(s) you wish to report (optional).
/* +=============================================================================+
-- | Copyright 2023 Douglas Volz Consulting, Inc.
-- | All rights reserved.
-- | Permission to use this code is granted provided the original author is
-- | acknowledged. No warranties, express or otherwise is included in this permission.
-- +=============================================================================+
-- |
-- | Original Author: Douglas Volz (doug@volzconsulting.com)
-- |
-- | Program Name: xxx_cost_update_submissions_rept.sql
-- | 
-- | Version Modified on Modified by    Description
-- | ======= =========== ============== =========================================
-- |  1.0    28 Sep 2023 Douglas Volz   Initial coding
-- +=============================================================================+*/
</t>
  </si>
  <si>
    <t>CAC Standard Cost Update Submissions</t>
  </si>
  <si>
    <t>Report to show accounts used for the subinventories; these valuation and expense accounts are used with Standard Costing.
/* +=============================================================================+
-- |  Copyright 2009 - 22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xxx_subinv_setup_accts_rept.sql
-- |
-- |  Parameters:
-- |  p_org_code         -- Specific inventory organization you wish to report (optional)
-- |  p_operating_unit   -- Operating Unit you wish to report, leave blank for all
-- |                        operating units (optional) 
-- |  p_ledger           -- general ledger you wish to report, leave blank for all
-- |                        ledgers (optional)
-- | 
-- |  Description:
-- |  Report to show accounts used for the subinventories
-- | 
-- |  Version Modified on Modified  by   Description
-- |  ======= =========== ============== =========================================
-- |  1.0     24 Nov 2009 Douglas Volz   Initial Coding
-- |  1.1     28 Mar 2011 Douglas Volz   Minor column heading changes
-- |  1.2     30 Mar 2011 Douglas Volz   Minor column heading changes for Inv Asset,
-- |                                     added quantity tracked and disable date
-- |                                     columns
-- |  1.3     23 Dec 2014 Douglas Volz   Added DFFs for "Use Item Type Accounts".
-- |                                     For OPM orgs, the ICP valuation reports use
-- |                                     this to indicate if the Item Type accounts
-- |                                     or the subinventory valuation accounts are 
-- |                                     displayed on the report. 
-- |  1.4     07 Oct 2015 Douglas Volz   Removed above DFFs for "Use Item Type Accounts",
-- |                                     changed COA to match new client.  Also added
-- |                                     Cost Group Name and accounts. Replaced OOD
-- |                                     with mtl_parameters and mp.organization_name with
-- |                                     haou.name.  And removed prior client's organization
-- |                                     restrictions.   
-- |  1.5     11 Nov 2016 Douglas Volz   Modified chart of accounts for client 
-- |  1.6     28 Mar 2017 Douglas Volz   Added Creation Date, Last Update Date, Created
-- |                                     By, Last Updated By  
-- |  1.7     02 Feb 2020 Douglas Volz   Added Operating Unit and Org Code Parameters
-- |                                     and added outer join to gcc.code_combinations_id 
-- |  1.8     29 Apr 2020 Douglas Volz   Changed to multi-language views for the item
-- |                                     master, inventory orgs and operating units.
-- |  1.9     10 Jul 2022 Douglas Volz   Account Type column now uses a lookup code.
-- +=============================================================================+*/</t>
  </si>
  <si>
    <t>CAC Subinventory Accounts Setup</t>
  </si>
  <si>
    <t>Use this report to find items with both user-defined (manually entered) and rolled up costs, for material and other cost elements.  Useful to find rolled up assemblies where the item costs have been accidentally doubled-up.
Parameters:
===========
Cost Type: enter the cost type to report (mandatory).
Category Set 1:  any item category you wish, typically the Cost or Product Line category set (optional).
Category Set 2:  any item category you wish, typically the Inventory category set (optional).
Assignment Set:  enter the sourcing rule assignment set, used when transferring items between inventory organizations on internal requisitions.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2010-2023 Douglas Volz Consulting, Inc.
-- |  All rights reserved.
-- |  Permission to use this code is granted provided the original author is
-- |  acknowledged.  No warranties, express or otherwise is included in this
-- |  permission.
-- +=============================================================================+
-- |
-- |  Original Author: Douglas Volz (doug@volzconsulting.com)
-- |
-- |  Program Name:  xxx_user_defined_rolled_up_cost_rept.sql
-- | 
-- |  Version Modified on Modified  by   Description
-- |  ======= =========== ============== =========================================
-- |  1.0     29 Dec 2010 Douglas Volz   Create new report to find items with
-- |                                     both manually entered and rolled up material costs
-- |  1.1     24 May 2011 Douglas Volz   Bug fix for the resource code column
-- |  1.2     19 Oct 2019 Douglas Volz   Add columns for non-material costs
-- |  1.3     27 Jan 2020 Douglas Volz   Added Operating_Unit parameter and outer
-- |                                     join for Item_Type.
-- |  1.4     05 May 2021 Douglas Volz   Modify for multi-language tables.
-- |  1.5     12 Jan 2023 Douglas Volz   Correction for definition of manually entered 
-- |                                     material costs.
-- |  1.6     20 Nov 2023 Douglas Volz   Fix for Manual Other Costs and Rolled Up Other Costs columns.
-- |  1.7     05 Dec 2023 Douglas Volz   Added G/L and Operating Unit security restrictions.
-- |  1.8     07 Jan 2024 Douglas Volz   Add onhand quantities, to help find valuation issues.  Remove tabs.
-- +=============================================================================+*/</t>
  </si>
  <si>
    <t>CAC User-Defined and Rolled Up Costs</t>
  </si>
  <si>
    <t>Report to get the WIP accounting distributions, in summary, by WIP job, resource, overhead and WIP cost update.  With the Show SLA Accounting parameter you can choose to use the Release 12 Subledger Accounting (Create Accounting) account setups by selecting Yes.  And if you have not modified your SLA accounting rules, select No to allow this report to run a bit faster.  With parameters to limit the number of report columns, Show Project to display or not display the project number and name, Show WIP Job to display or not display the WIP job (WIP job, description and resource codes), Show WIP Outside Processing to display or not display the outside processing information (WIP OSP item number, supplier, purchase order, purchase order line and release) and Show Overheads to display or not display the overhead codes.  For Discrete, Flow and Workorderless WIP (but not Repetitive Schedules).  Note that both Flow and Workorderless show up as the WIP Type "Flow schedule".  And WIP Standard Cost Update descriptions show up in the Transaction Reference column.
Parameters:
===========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Projects:  display the project number and name.  Enter Yes or No, use to control the reported columns. (mandatory).
Show WIP Outside Processing:  display the WIP OSP item number, supplier, purchase order, purchase order line and release.  Enter Yes or No, use to control the reported columns (mandatory).
Show WIP Overheads:  display the earned WIP production overheads, including the Overhead Code and Resource Basis Amount.  Enter Yes or No, use to control the reported columns (mandatory).
Category Set 1:  any item category you wish, typically the Cost or Product Line category set (optional).
Category Set 2:  any item category you wish, typically the Inventory category set (optional).
Accounting Line Type:  enter the accounting purpose or line type to report (optional).
WIP Transaction Type:  enter the transaction type to report (optional).
Minimum Absolute Amount:  enter the minimum debit or credit to report (optional).  To see all accounting entries, enter zero (0) and leave the other parameters blank.
Resource Code:  enter the resource codes to report (optional).
Department:  enter the routing department to report (optional).
Class Code:  enter the WIP class code to report (optional).
WIP Job or Flow Schedule:  enter the WIP Job or the Flow Schedule to report (optional).
Organization Code:  enter the inventory organization(s) you wish to report (optional).
Assembly Number:  enter the assembly number(s) you wish to report (optional).
Operating Unit:  enter the operating unit(s) you wish to report (optional).
Ledger:  enter the ledger(s) you wish to report (optional).
/* +=============================================================================+
-- |  Copyright 2009- 2024 Douglas Volz Consulting, Inc.
-- |  All rights reserved.
-- |  Permission to use this code is granted provided the original author is
-- |  acknowledged.  No warranties, express or otherwise is included in this permission. 
-- +=============================================================================+
-- | 
-- |  Version Modified on Modified  by   Description
-- |  ======= =========== ============== =========================================
-- |  1.0     06 Nov 2009 Douglas Volz   Initial Coding
-- |  1.21   25 Jan 2024 Douglas Volz    Added Std Cost Update Description to Transaction Reference column.
-- |                     Andy Haack      Added organization security restriction by org_access_view oav.
-- +=============================================================================+*/</t>
  </si>
  <si>
    <t>CAC WIP Account Detail</t>
  </si>
  <si>
    <t>Report to get the WIP accounting distributions, in summary, by WIP job, resource, overhead and WIP cost update.  With the Show SLA Accounting parameter you can choose to use the Release 12 Subledger Accounting (Create Accounting) account setups by selecting Yes.  And if you have not modified your SLA accounting rules, select No to allow this report to run a bit faster.  With parameters to limit the report size, Show Project to display or not display the project number and name, Show WIP Job to display or not display the WIP job (WIP job, description and resource codes) and Show WIP Outside Processing to display or not display the outside processing information (WIP OSP item number, supplier, purchase order, purchase order line and release).  For Discrete, Flow and Workorderless WIP (but not Repetitive Schedules).  Note that both Flow and Workorderless show up as the WIP Type "Flow schedule".
Parameters:
===========
Transaction Date From:  enter the starting transaction date (mandatory).
Transaction Date To:  enter the ending transaction date (mandatory).
Show SLA Accounting:  enter Yes to use the Subledger Accounting rules for your accounting information (mandatory).  If you choose No the report uses the pre-Create Accounting entries.
Show Projects:  display the project number and name.  Enter Yes or No, use to limit the report size. (mandatory).
Show WIP Jobs:  display the WIP job, description, department and resource.  Enter Yes or No, use to limit the report size (mandatory).
Show WIP Outside Processing:  display the WIP OSP item number, supplier, purchase order, purchase order line and release.  Enter Yes or No, use to limit the report size (mandatory).
Category Set 1:  any item category you wish, typically the Cost or Product Line category set (optional).
Category Set 2:  any item category you wish, typically the Inventory category set (optional).
Assembly Number:  enter the specific assembly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2009- 2024 Douglas Volz Consulting, Inc.
-- |  All rights reserved.
-- |  Permission to use this code is granted provided the original author is
-- |  acknowledged.  No warranties, express or otherwise is included in this permission. 
-- +=============================================================================+
-- | 
-- |  Version Modified on Modified  by   Description
-- |  ======= =========== ============== =========================================
-- |  1.0     06 Nov 2009 Douglas Volz   Initial Coding
-- |   1.13   11 Mar 2021 Douglas Volz   Added Flow Schedules and Workorderless WIP
-- |                                     and removed redundant joins and tables to 
-- |                                     improve performance.
-- |   1.14   22 Mar 2021 Douglas Volz   Add WIP Job parameter.
-- |   1.15   20 Dec 2021 Douglas Volz   Add WIP Department.
-- |   1.16   12 Aug 2022 Douglas Volz   Combine with WIP Account Summary No SLA report
-- |                                     and add Show WIP Job and Show WIP OSP parameters.
-- |   1.17   14 Aug 2022 Douglas Volz   Screen out zero job close variances for Flow Schedules.
-- |  1.18   22 Aug 2022 Douglas Volz    Improve performance with outer joins and streamline dynamic SQL.
-- |  1.19   26 Feb 2023 Douglas Volz    Fix to show job close variances.
-- |  1.20   20 Jun 2024 Douglas Volz    Remove tabs, reinstall missing parameters and org access controls.
-- +=============================================================================+*/
</t>
  </si>
  <si>
    <t>CAC WIP Account Summary</t>
  </si>
  <si>
    <t>Report to show WIP values and all accounts for discrete manufacturing, in summary by inventory, organization, with WIP class, job status, name and other details.  This report uses the valuation accounts from each discrete job and reports both jobs which were open during the accounting period as well as jobs closed during the accounting period.  You can also run this report for earlier accounting periods and still get the correct amounts and the jobs that were open at that time.
Parameters
==========
Period Name:  the accounting period you wish to report (mandatory).
Include Expense WIP:  enter Yes to include Expense WIP jobs.  Defaults to No.
Job Status:  enter a specific job status (optional).
Category Sets 1 - 3:  any item category you wish (optional).
Item Number:  specific item you wish to report (optional)
Organization Code:  specific inventory organization to report (optional)
Operating Unit:  specific operating unit (optional)
Ledger:  specific ledger (optional)
/* +=============================================================================+
-- |  Copyright 2009 - 2025 Douglas Volz Consulting, Inc.
-- |  All rights reserved.
-- |  Permission to use this code is granted provided the original author is
-- |  acknowledged. No warranties, express or otherwise is included in this permission. 
-- +=============================================================================+
-- |
-- |  Original Author: Douglas Volz (doug@volzconsulting.com)
-- | 
-- |  Version Modified on Modified  by   Description
-- |  ======= =========== ============== =========================================
-- |  1.0     29 Oct 2009 Douglas Volz   Based on XXX_WIP_VALUE_REPT.sql
-- |  1.13    22 May 2017 Douglas Volz   Added cost item category
-- |  1.14    10 Jul 2017 Douglas Volz   Added column to indicate a WIP job was converted
-- |                                     from the Legacy Systems
-- |  1.15    26 Jul 2018 Douglas Volz   Modified for chart of accounts and for categories
-- |  1.16    04 Dec 2018 Douglas Volz   Modified for chart of accounts and removed converted 
-- |                                     job column. Fixed outer join for completion subinventories
-- |  1.17    19 Jun 2019 Douglas Volz   Changed to G/L short name, for brevity, added
-- |                                     inventory category.  Added Date Released column.
-- |  1.17    19 Jun 2019 Douglas Volz   Changed to G/L short name, for brevity, added
-- |                                     inventory category.  Added Date Released column.
-- |  1.18    24 Oct 2019 Douglas Volz   Added aging dates, creation date and date released columns
-- |  1.19    06 Jan 2020 Douglas Volz   Added Org Code and Operating Unit parameters.
-- |  1.20    24 Apr 2020 Douglas Volz   Changed to multi-language views for the item
-- |                                     master, item categories and operating units.
-- |                                     And put the WIP Costs In, WIP Costs Out, WIP
-- |                                     Relief and WIP Value as the last report columns.
-- |                                     Add Project Number and Project Name columns.
-- |  1.21    17 Aug 2020 Douglas Volz   Change categories to use category_concat_segs not segment1
-- |  1.22    09 Oct 2020 Douglas Volz   Added unit of measure column
-- |  1.23    13 Mar 2022 Douglas Volz   Added WIP job description column.
-- |  1.24    27 Feb 2025 Douglas Volz   Removed tabs, fixed OU and GL security profiles.
-- |  1.25    17 Mar 2025 Douglas Volz   WIP performance improvements.
-- |  1.26    31 Aug 2025 Douglas Volz  Added Job Status parameter.
+=============================================================================+*/
</t>
  </si>
  <si>
    <t>CAC WIP Account Value</t>
  </si>
  <si>
    <t>Report to show accounts used for WIP accounting classes.
Parameters:
Organization Code:  specific inventory organization to report (optional)
Operating Unit:  specific operating unit (optional)
Ledger:  specific ledger (optional)
/* +=============================================================================+
-- |  Copyright 2009 - 2025 Douglas Volz Consulting, Inc.
-- |  All rights reserved.
-- |  Permission to use this code is granted provided the original author is
-- |  acknowledged.  No warranties, express or otherwise is included in this
-- |  permission.
-- +=============================================================================+
-- |
-- |  Original Author: Douglas Volz (doug@volzconsulting.com)
-- | 
-- |  Version Modified on Modified  by   Description
-- |  ======= =========== ============== =========================================
-- |  1.0     24 Nov 2009 Douglas Volz   Initial Coding
-- |  1.1     28 Mar 2011 Douglas Volz   Added ledger parameter
-- |  1.2     18 Nov 2012 Douglas Volz   Removed client-specific COA segments and
-- |                                     organization conditions
-- |  1.3     02 Feb 2020 Douglas Volz   Outer join for accounts join, short name
-- |                                     for Ledger, Operating Unit and Org Code
-- |                                     parameters.
-- |  1.4     20 Apr 2020 Douglas Volz   Added Creation Date, Last Update Date
-- |                                     Changed to multi-language views for the item
-- |                                     master, inventory orgs and operating units.
-- |  1.5     10 Jul 2022 Douglas Volz   Account Type column now uses a lookup code.
-- |  1.6     05 Nov 2025 Douglas Volz   Added completion cost source, system option 
-- |                                     and cost type for Average and FIFO Costing.
-- +=============================================================================+*/</t>
  </si>
  <si>
    <t>CAC WIP Accounts Setup</t>
  </si>
  <si>
    <t>Report WIP jobs which have a status of "Complete" but exceed variance tolerances, have uncompleted assemblies, open material requirements, unearned OSP (outside processing) charges or stuck transactions in interfaces.  When you include scrap quantities, any scrapped assemblies are counted with the completed units.  Note that for material requirements, expense items are ignored.
Parameters:
==========
Variance Amount Threshold:  absolute maximum WIP variance or current job balance that is allowed for jobs you wish to close (required).
Variance Percent Threshold:  absolute maximum WIP variance percentage that is allowed for jobs you wish to close.  Based on WIP Job Balance / WIP Costs In. (required).
Include Scrap Quantities:  include scrapped assemblies in completion and component material requirements, enter Yes to include scrapped assembly quantities, enter No to exclude (required).
Include Bulk Supply Items:  include bulk WIP supply types in the component requirements, enter Yes to include bulk quantity requirements, enter No to exclude (required).
Category Set 1:  any item category you wish, typically the Cost or Product Line category set (optional).
Category Set 2:  any item category you wish, typically the Inventory category set (optional).
Organization Code:  enter the specific inventory organization(s) you wish to report (optional).
Class Code:  enter the WIP class code to report (optional).
WIP Job:  enter the WIP Job to report (optional).
Assembly Number:  enter the specific assembly number(s) you wish to report (optional).
Operating Unit:  enter the specific operating unit(s) you wish to report (optional).
Ledger:  enter the specific ledger(s) you wish to report (optional).
/* +=============================================================================+
-- |  Copyright 2017 - 2024 Douglas Volz Consulting, Inc.
-- |  All rights reserved.
-- |  Permission to use this code is granted provided the original author is
-- |  acknowledged.  No warranties, express or otherwise is included in this permission.
-- +=============================================================================+
-- | 
-- |  Original Author: Douglas A. Volz
-- |
-- |  Version Modified on Modified  by  Description
-- |  ======= =========== ============= =========================================
-- |  1.0     16 MAR 2017 Douglas Volz  Initial Coding
-- |  1.1     19 MAR 2017 Douglas Volz  Added interface conditions for eligibility  and check for no applied OSP
-- |  1.3     27 MAR 2017 Douglas Volz  Fix "return more than one row" error for
-- |                                    correlated sub-query on OSP and add in check for purchase requisitions
-- |  1.4     27 APR 2017 Douglas Volz  Fix for cross-joining results
-- |  1.6     25 Oct 2017 Douglas Volz  Remove p_date_completed parameter, not needed
-- |  1.7     25 Jul 2018 Douglas Volz  Removed all categories except Inventory
-- |  1.8     25 Jul 2018 Douglas Volz  Removed all category values
-- |  1.9     11 Dec 2020 Douglas Volz  Now for Standard, Lot Based Standard and Non-Standard Asset Jobs.
-- |  1.10    26 Jan 2021 Douglas Volz  Check for unissued materials and WIP scrap controls.  And now
-- |                                    use multi-language tables or views.
-- |  1.11    11 Feb 2021 Douglas Volz  Added parameter to include scrap for requirements
-- |  1.12    05 Mar 2021 Douglas Volz  Added parameter to include bulk items for requirements.
-- |  1.13    12 Mar 2021 Douglas Volz  Add logic to ignore Phantom WIP Supply Types as these requirements are never issued.
-- |  1.14    15 Apr 2021 Douglas Volz  Added Date Released
-- |  1.15    10 Jul 2022 Douglas Volz  Added WIP Variance Percentage parameter.
-- |  1.16    21 Jan 2024 Douglas Volz  Bug fix for Pending Material and Pending Shop Floor
-- |                                    Move.  Remove tabs and add inventory access controls.
-- +=============================================================================+*/</t>
  </si>
  <si>
    <t>CAC WIP Jobs With Complete Status But Not Ready for Close</t>
  </si>
  <si>
    <t>Report WIP jobs which have a status of "Complete", do not exceed variance tolerances, have completed or exceeded the WIP start quantity, with no open material requirements, no unearned OSP (outside processing) charges and no stuck transactions in interfaces.  When you include scrap quantities, any scrapped assemblies are counted with the completed units.  Note that for material requirements, expense items are ignored.
Parameters:
==========
Variance Amount Threshold:  maximum absolute WIP variance or current job balance that is allowed for jobs you wish to close (required).
Variance Percent Threshold: maximum absolute WIP variance percentage that is allowed for jobs you wish to close.  Based on WIP Job Balance / WIP Costs In. (required).
Include Scrap Quantities:  include scrapped assemblies in completion and component material requirements (required).
Include Bulk Supply Items:  include bulk WIP supply types in the component requirements (required).
Category Set 1:  any item category you wish, typically the Cost or Product Line category set (optional).
Category Set 2:  any item category you wish, typically the Inventory category set (optional).
Organization Code:  enter the specific inventory organization(s) you wish to report (optional).
Class Code:  enter the WIP class code to report (optional).
WIP Job:  enter the WIP Job to report (optional).
Assembly Number:  enter the specific assembly number(s) you wish to report (optional).
Operating Unit:  enter the specific operating unit(s) you wish to report (optional).
Ledger:  enter the specific ledger(s) you wish to report (optional).
/* +=============================================================================+
-- |  Copyright 2017 - 2024 Douglas Volz Consulting, Inc.
-- |  All rights reserved.
-- |  Permission to use this code is granted provided the original author is
-- |  acknowledged.  No warranties, express or otherwise is included in this permission.
-- +=============================================================================+
-- |
-- |  Original Author: Douglas A. Volz
-- | 
-- |  Version Modified on Modified  by  Description
-- |  ======= =========== ============= =========================================
-- |  1.0     16 MAR 2017 Douglas Volz  Initial Coding
-- |  1.1     19 MAR 2017 Douglas Volz  Added interface conditions for eligibility
-- |                                    and check for no applied OSP
-- |  1.3     27 MAR 2017 Douglas Volz  Fix "return more than one row" error for
-- |                                    correlated sub-query on OSP and add in check for purchase requisitions
-- |  1.4     27 APR 2017 Douglas Volz  Fix for cross-joining results
-- |  1.6     25 Oct 2017 Douglas Volz  Remove p_date_completed parameter, not needed
-- |  1.7     25 Jul 2018 Douglas Volz  Removed all categories except Inventory
-- |  1.8     25 Jul 2018 Douglas Volz  Removed all category values
-- |  1.9     11 Dec 2020 Douglas Volz  Now for Standard, Lot Based Standard and Non-
-- |                                    Standard Asset Jobs.  Added another category.
-- |  1.10    26 Jan 2021 Douglas Volz  Check for unissued materials and WIP scrap controls
-- |  1.11    11 Feb 2021 Douglas Volz  Added parameter to include scrap for requirements
-- |  1.12    05 Mar 2021 Douglas Volz  Added parameter to include bulk items for requirements.
-- |  1.13    12 Mar 2021 Douglas Volz  Add logic to ignore Phantom WIP Supply Types as
-- |                                    these requirements are never issued.
-- |  1.14    15 Apr 2021 Douglas Volz  Added Date Released
-- |  1.15    10 Jul 2022 Douglas Volz  Added WIP Variance Percentage parameter.
-- |  1.16    21 Jan 2024 Douglas Volz  Bug fix for Pending Material and Pending Shop Floor
-- |                                    Move.  Remove tabs and add inventory access controls.
-- +=============================================================================+*/
</t>
  </si>
  <si>
    <t>CAC WIP Jobs With Complete Status Which Are Ready for Close</t>
  </si>
  <si>
    <t>Report to show WIP material variances on closed jobs for discrete manufacturing, in summary by inventory organization, with WIP class, job status, name and other details.  Including any profit in inventory or PII amounts.  But unlike the more recent CAC WIP Manufacturing Variance and CAC WIP Material Usage Variance reports, this report uses the latest material issue quantities as stored on the WIP job definition, even if you run it for a prior period.  It does not rollback the component issue quantities for a prior accounting period.
Parameters:
==========
Period Name:  the accounting period you wish to report (mandatory).
Cost Type:  defaults to your Costing Method.  If blank the report uses your Costing Method Cost Type (mandatory).
PII Cost Type:  enter the cost type for your profit in inventory item costs to report (optional).
PII Sub-Element:  the sub-element or resource for profit in inventory, such as PII or ICP (optional).
Category Set 1:  any item category you wish (optional).
Category Set 2:  any item category you wish (optional).
Class Code:  specific type of WIP class to report (optional).
Job Status:  specific WIP job status (optional).
WIP Job:  specific WIP job (optional).
Assembly Number:  specific assembly number you wish to report (optional)
Component Number:   specific component item you wish to report (optional)
Show Phantom Components: show the material usage variances for phantom components (optional).
Organization Code:  any inventory organization, defaults to your session's inventory organization (optional).
Operating Unit:  specific operating unit (optional).
Ledger:  specific ledger (optional).
/* +=============================================================================+
-- |  Copyright 2009-24 Douglas Volz Consulting, Inc.
-- |  All rights reserved.
-- |  Permission to use this code is granted provided the original author is acknowledged.
-- +=============================================================================+
-- |
-- |  Original Author: Douglas Volz (doug@volzconsulting.com)
-- |
-- |  Program Name:  xxx_wip_relief_rept.sql
-- | 
-- |  Version Modified on Modified  by   Description
-- |  ======= =========== ============== =========================================
-- |  1.0     11 Jan 2010 Douglas Volz   Initial Coding based on XXX_ICP_WIP_COMPONENT_VAL_REPT.sql,
-- |                                     with this report analyzing the WIP variances on
-- |                                     closed jobs.  Added org_acct_periods to limit to
-- |                                     jobs closed within the accounting period.
-- |  1.9     26 Sep 2010 Douglas Volz   Added Component Item Number to report sort.
-- |  1.10    09 Feb 2012 Douglas Volz   Included component yield in required quantities;
-- |                                     decided to not exclude WIP expense jobs as they
-- |                                     could have components with ICP issued to the job
-- |                                     and the cost accountants would need the visibility.
-- |  1.11    23 Feb 2012 Douglas Volz   Added component UOM code, to be consistent with
-- |                                     other reports.
-- |  1.12    07 Oct 2020 Andy Haack     Modify for Blitz Report with Blitz lookup functions
-- |                                     (xxen_util) and re-format sql code.
-- |  1.13    11 Jul 2022 Douglas Volz   Multi-language changes; added back PII parameters.  Changed
-- |                                     wro.component_yield_factor to nvl(wro.component_yield_factor,1).
-- |  1.14    23 Jun 2024 Douglas Volz   Remove tabs, reinstall parameters and inventory org access controls.
-- |                                     Added category set parameters.
-- +=============================================================================+*/</t>
  </si>
  <si>
    <t>CAC WIP Material Relief</t>
  </si>
  <si>
    <t>Report your material usage variances for your open and closed WIP jobs.  This report replicates the Material Variance Section for the Oracle Discrete Job Value - Standard Costing report.
If the job is open the Report Type column displays "Valuation", as this WIP job and potential material usage variance is still in your WIP inventory balances.  If the job has been closed during the reporting period, the Report Type column displays "Variance", as this WIP job was written off on a WIP Job Close Variance transaction.  You can report prior periods and this report will automatically adjust the assembly completion quantities and component issue quantities to reflect the quantities for the specified accounting period, as well as report only jobs which were open or closed during that prior period.
Closed, Pending Close, Cancelled, Complete and Complete No Charges WIP job statuses use the completion quantities.  All other WIP jobs use the parameter "Use Completion Quantities".  
Parameters:
==========
Report Option:  Open jobs, Closed jobs or All jobs.  Use this to limit the size of the report.  (mandatory)
Period Name:  the accounting period you wish to report.  (mandatory)
Cost Type:  defaults to your Costing Method; if the cost type is missing component costs the report will find any missing item costs from your Costing Method cost type. (optional)
Include Scrap Quantities:  for calculating your completion quantities and component quantity requirements, include or exclude any scrapped assembly quantities.  (mandatory)
Include Unreleased Jobs:  include jobs which have not been released and are not started.  (mandatory)
Include Bulk Supply Items:  include Bulk items to match the results from the Oracle Discrete Job Value Report; exclude knowing that Bulk items are usually not issued to the WIP job.  (mandatory)
Use Completion Qtys:  for jobs in a released status, use the completion quantities for the material usage and configuration variance calculations.  Useful if you backflush your materials based on your completion quantities.  Complete, Complete - No Charges, Cancelled, Closed, Pending Close or Failed Close alway use the completion quantities for the variance calculations.  (mandatory)
Category Set 1:  any item category you wish (optional).
Category Set 2:  any item category you wish (optional).
Class Code:  specific type of WIP class to report (optional).
Job Status:  specific WIP job status (optional).
WIP Job:  specific WIP job (optional).
Assembly Number:  specific assembly number you wish to report (optional)
Component Number:   specific component item you wish to report (optional)
Organization Code:  any inventory organization, defaults to your session's inventory organization (optional).
Operating Unit:  specific operating unit (optional)
Ledger:  specific ledger (optional)
/* +=============================================================================+
-- |  Copyright 2009 - 2024 Douglas Volz Consulting, Inc.
-- |  All rights reserved.
-- |  Permission to use this code is granted provided the original author is acknowledged.
-- +=============================================================================+
-- |  Version Modified on Modified  by   Description
-- |  ======= =========== =============== =========================================
-- |  1.0     12 Oct 2020 Douglas Volz    Initial Coding Based on ICP WIP Component 
-- |                                      Variances and ICP WIP Component Valuation
-- |  1.24     02 Feb 2022 Douglas Volz   Fix for non-standard jobs, there are no rows in wip_operations if there is no routing.
-- |  1.25     20 Jun 2024 Douglas Volz   Remove tabs, reinstall parameters and inventory org access controls.
-- |  ======= =========== =============== =========================================</t>
  </si>
  <si>
    <t>CAC WIP Material Usage Variance</t>
  </si>
  <si>
    <t>Report showing the potential standard cost changes for WIP discrete jobs, for the WIP completions, WIP component issues and WIP resource (labor) transactions.  (Note that resource overheads / production overheads are not included in this report version.)  The Cost Type (Old) defaults to your Costing Method Cost Type (Average, Standard, etc.); the Currency Conversion Dates default to the latest open or closed accounting period; and the To Currency Code and the Organization Code default from the organization code set for this session.   And if you choose Yes for "Include All WIP Jobs" all WIP jobs will be reported even if there are no valuation changes.
Parameters:
===========
Cost Type (New):  enter the Cost Type that has the revised or new item costs (mandatory).
Cost Type (Old):  enter the Cost Type that has the existing or current item costs, defaults to the Frozen Cost Type (mandatory).
Currency Conversion Date (New):  enter the currency conversion date to use for the new item costs (mandatory).
Currency Conversion Type (New):  enter the currency conversion type to use for the new item costs, defaults to Corporate (mandatory).
Currency Conversion Date (Old):  enter the currency conversion date to use for the existing item costs (mandatory).
Currency Conversion Type (Old):  enter the currency conversion type to use for the existing item costs, defaults to Corporate (mandatory).
To Currency Code:  enter the currency code used to translate the item costs and inventory values into.
Category Set 1:  the first item category set to report, typically the Cost or Product Line Category Set (optional).
Category Set 2:  The second item category set to report, typically the Inventory Category Set (optional).
Include All WIP Jobs:  enter No to only report WIP jobs with valuation changes, enter Yes to report all WIP jobs. (mandatory).
Item Number:  specific buy or make item you wish to report (optional).
Organization Code:  enter the inventory organization(s) you wish to report, defaults to your session's inventory organization (optional).
Operating Unit:  enter the specific operating unit(s) you wish to report (optional).
Ledger:  enter the specific ledger(s) you wish to report (optional).
/* +=============================================================================+
-- |  Copyright 2020 - 2024 Douglas Volz Consulting, Inc.
-- |  Permission to use this code is granted provided the original author is
-- |  acknowledged.  No warranties, express or otherwise is included in this
-- |  permission. All rights reserved.
-- +=============================================================================+
-- |  Version Modified on  Modified  by   Description
-- |  ======= =========== ============== =========================================
-- |      1.0 04 Dec 2020 Douglas Volz   Created initial Report based on the Pending
-- |                                     Cost Adjustment Report for Inventory and Intransit.
-- |      1.1 11 Dec 2020 Douglas Volz   Corrected cost adjustments for assemblies
-- |      1.2 16 Dec 2020 Douglas Volz   Change SIGN of completion quantities to match
-- |                                     the Oracle WIP Standard Cost Adjustment Report.
-- |      1.3 10 Feb 2021 Douglas Volz   Fixes for WIP completion quantities, needed to
-- |                                     change the SIGN of completion quantities.
-- |      1.4 17 Feb 2021 Douglas Volz   Add absolute difference column.
-- |      1.5 13 Dec 2021 Douglas Volz   Add parameter to report all WIP jobs, even
-- |                                     if there is no valuation change.
-- |      1.6 12 Feb 2024 Douglas Volz   Remove tabs, simplify G/L conversion rates,
-- |                                     added inventory org access security.
-- +=============================================================================+*/</t>
  </si>
  <si>
    <t>CAC WIP Pending Cost Adjustment</t>
  </si>
  <si>
    <t>Report to compare the monthly WIP Period Balances with the pre-Create Accounting WIP accounting entries for material, resource, overhead, outside processing, job close variance and standard cost update transactions.  With WIP class, job status, name and other details.  This report shows both WIP jobs which were open during the accounting period as well as jobs closed during the accounting period.  If the stored WIP period balances agree to the period WIP accounting activity, the "Difference" columns have a zero amount.
//* +=============================================================================+
-- | Copyright 2022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xxx_reconcile_wip_balances.sql
-- |
-- |  Parameters:
-- |  p_period_name          -- The desired accounting period you wish to report
-- |  p_org_code             -- Specific inventory organization you wish to report (optional)
-- |  p_operating_unit       -- Operating Unit you wish to report, leave blank for all
-- |                            operating units (optional) 
-- |  p_ledger               -- general ledger you wish to report, leave blank for all
-- |                            ledgers (optional)
-- | Description:
-- | Report to compare the monthly WIP transactions against the WIP period balances.
-- |
-- | Version Modified on Modified by Description
-- | ======= =========== ============== =========================================
-- | 1.0     07 Apr 2021 Douglas Volz   Initial Coding based on item_cost_history.sql
-- | 1.1     10 Jul 2022 Douglas Volz   Add Ledger and Operating Unit columns
-- | 1.2     19 Oct 2022 Douglas Volz   Bug fix for missing organization join
-- +=============================================================================+*/
</t>
  </si>
  <si>
    <t>CAC WIP Period Balances to Accounting Activity Reconciliation</t>
  </si>
  <si>
    <t>Report your resource efficiency variances for your open and closed WIP jobs.  Resource efficiency measures the WIP routing requirements against the actual applied resources.  This report replicates the Resource Section for the Oracle Discrete Job Value Report - Standard Costing.
If you leave the Cost Type parameter blank the report uses either your Costing Method Cost Type (Standard) or your Costing Method "Avg Rates" Cost Type (Average, FIFO, LIFO) for your resource rates.  If the WIP job is open the Report Type column displays "Valuation", as this WIP job and potential material usage variance is still in your WIP inventory balances.  If the job has been closed during the reporting period, the Report Type column displays "Variance", as this WIP job was written off on a WIP Job Close Variance transaction during the reporting period.  Closed, Pending Close, Cancelled, Complete and Complete No Charges WIP job statuses use the completion quantities.  All other WIP jobs use the parameter "Use Completion Quantities" to determine if completion or planned quantities are used for requirements.  If you choose Yes for including scrap, this report will automatically include the scrapped quantities as part of the resource quantity requirements.  And this report automatically includes WIP jobs which were either open during the reported accounting period or if closed, were closed doing the reporting period.
Parameters:
=========
Report Option:  You can choose to limit the report size with this parameter.  The choices are:  Open jobs, All jobs or Closed jobs. (mandatory)
Period Name:  Enter the Period_Name you wish to report for WIP Jobs (mandatory)
Cost Type:  Enter the resource rates cost type.  If left blank, the report uses the Costing Method rates cost type. (optional)
Include Scrap Quantities:  Include scrap for quantity requirements.  (mandatory)
Include Unreleased Jobs:  Include jobs which have not been released and are not started.  (mandatory)
Use Completion Quantities:  For Released jobs, use the completion quantities for resource variance calculations else use the planned start quantities (mandatory).
Category Set 1:  Choose any item category to report.  Does not limit what is reported.
Category Set 2:  Choose any item category to report.  Does not limit what is reported.
Class Code:  Specific WIP class code to report (optional).
Job Status:  Specific WIP job status to report (optional).
WIP Job:  Specific WIP job number to report (optional).
Resource Code:  Specific resource code to report (optional).
Outside Processing Item:  Specific outside processing component to report (optional).
Assembly Number:  Specific assembly to report (optional).
Organization Code:  Specific inventory organization you wish to report (optional)
Operating Unit:  Specific operating unit you wish to report (optional)
Ledger:  Specific ledger you wish to report (optional)
/* +=============================================================================+
-- |  Copyright 2009 - 2021 Douglas Volz Consulting, Inc.                        |
-- |  All rights reserved.                                                       |
-- |  Permission to use this code is granted provided the original author is     |
-- |  acknowledged                                                               |
-- +=============================================================================+
-- |  Version Modified on Modified  by   Description
-- |  ======= =========== ============== =========================================
-- |  1.0     28 Jan 2010 Douglas Volz   Initial Coding
-- |  1.25    12 Dec 2021 Douglas Volz   Added auto-charge, std rate and PO Currency Code columns.
-- +=============================================================================+*/</t>
  </si>
  <si>
    <t>CAC WIP Resource Efficiency</t>
  </si>
  <si>
    <t>Report to download the single-level bills of materials and related component information, by organization by cost type.  And while exploding the bills of material you can also compare with two cost types, as well as limit the report to only assemblies and component items with a zero item cost.
/* +=============================================================================+
-- |  Copyright 2013 - 2019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xxx_where_used_by_cost_type_rept.sql
-- |
-- |  Parameters:
-- |  p_cost_type              -- Cost type costs to report, enter a cost type name.
-- |                              Required.
-- |  p_category_set1          -- The first item category set to report, typically the
-- |                              Cost or Product Line Category Set
-- |  p_category_set2          -- The second item category set to report, typically the
-- |                              Inventory Category Set
-- |  p_assembly_number        -- Enter the specific assembly number you wish to report (optional)
-- |  p_component_number       -- Enter the specific component number you wish to report (optional)
-- |  p_only_zero_costs        -- Show assemblies and components with a zero cost (optional)
-- |  p_include_expense_items  -- Yes/No flag to include or not include non-asset (not valued)
-- |  p_include_uncosted_items -- Yes/No flag to include or not costing not enabled items (optional)
-- |  p_org_code               -- Specific inventory organization you wish to report (optional)
-- |  p_operating_unit         -- Operating Unit you wish to report, leave blank for all
-- |                              operating units (optional) 
-- |  p_ledger                 -- general ledger you wish to report, leave blank for all
-- |                              ledgers (optional)
-- | 
-- |  Version Modified on Modified  by   Description
-- |  ======= =========== ============== =========================================
-- |  1.0     08-Jun-2017 Douglas Volz   Initial Coding based on xxx_sl_bom_extract.sql
-- |  1.1     05-Nov-2018 Douglas Volz   Modified to client's item categories, don't
-- |                                     report obsolete items and remove location info.
-- |  1.2     03 Sep 2019 Douglas Volz   Add Ledger, Operating Unit, Item Type, Status
-- |                                     and item categories for cost and inventory.
-- |  1.3     27 Jan 2020 Douglas Volz   Added Operating Unit and Ledger parameters.
-- |  1.4     13 Jul 2020 Douglas Volz   Added item costs, parameters for components
-- |                                     and assemblies at a zero item cost, and
-- |                                     changed to multi-language views for translation.
-- |  1.5     24 Aug 2020 Douglas Volz   Component WIP Supply Type not always populated,
-- |                                     needed to add an outer join on the lookup code.
-- |  1.6     01 Sep 2020 Douglas Volz   Revision to avoid getting other cost type
-- |                                     entries for non-asset and uncosted items.
-- |  1.7     14 Sep 2020 Douglas Volz   Revision for faster queries by item number.
-- +=============================================================================+*/</t>
  </si>
  <si>
    <t>CAC Where Used by Cost Type</t>
  </si>
  <si>
    <t>Report to show zero item costs in the Costing Method cost type, the creation date, the last transaction id, last transaction date and any onhand stock, based on the item master creation date.
Parameters:
Creation Date From:  starting item master creation date (required).
Creation Date To: ending item master creation date (required).
Category Set 1:  any item category you wish, typically the Cost or Product Line category set (optional).
Category Set 2:  any item category you wish, typically the Inventory category set (optional).S
Item Number:  enter the specific item number(s) you wish to report (optional).
Organization Code:  enter the specific inventory organization(s) you wish to report (optional).
Operating Unit:  enter the specific operating unit(s) you wish to report (optional).
Ledger:  enter the specific ledger(s) you wish to report (optional).
/* +=============================================================================+
-- | Copyright 2010 - 2023 Douglas Volz Consulting, Inc.                         |
-- | All rights reserved.                                                        |
-- | Permission to use this code is granted provided the original author is      |
-- | acknowledged.  No warranties, express or otherwise is included in this      |
-- | permission.                                                                 |
-- +=============================================================================+
-- |
-- | Original Author: Douglas Volz (doug@volzconsulting.com)
-- |
-- | Program Name: xxx_zero_item_cost_rept.sql
-- | 
-- | Version Modified on Modified by Description
-- | ======= =========== ============== =========================================
-- |  1.0    11 Mar 2010 Douglas Volz   Initial Coding
-- |  1.1    29 Mar 2010 Douglas Volz   Added item status and item type to the 
-- |                                    report and removed 9xx inventory orgs
-- |  1.2    05 Oct 2010 Douglas Volz   Added Ledger parameter, updated column headings,
-- |                                    added UOM_Code column, added union all to
-- |                                    select items with no costs at all
-- |  1.3    10 Feb 2017 Douglas Volz   Removed client-specific org restrictions
-- |  1.4    22 May 2017 Douglas Volz   Added product type, business code, product family,
-- |                                    product line and package code item categories
-- |  1.5    17 Jul 2018 Douglas Volz   Revised to report any two item categories.
-- |  1.6    27 Jan 2020 Douglas Volz   Added Org_Code and Operating_Unit parameters.
-- |  1.7    27 Apr 2020 Douglas Volz   Changed to multi-language views for the item
-- |                                    master, inventory orgs and operating units
-- |  1.8    07 Nov 2020 Douglas Volz   Changed to multi-language for status and UOM
-- |  1.9    09 Jul 2023 Douglas Volz   Remove tabs and restrict to only orgs you have
-- |                                    access to, using the org access view.
-- +=============================================================================+*/
</t>
  </si>
  <si>
    <t>CAC Zero Item Costs</t>
  </si>
  <si>
    <t>Application: Cash Management
Description: Bank Accounts - Balances Report
Provides equivalent functionality to the following standard Oracle Forms/Reports
- Bank Account Balances OAF Page
- Bank Account Balance Range Day Report
- Bank Account Balance Single Date Report
- Bank Account Balance Actual vs Projected Report
Single (As Of) Date Report
- Specify the required Date in the As Of Date parameter
- Specify Yes in the 'Bring Forward Prior Balances' if you want to roll the most recent prior balance entries forward if a balance does not exist on the specified As Of Date
- Specify No in the  'Bring Forward Prior Balances' if you only want to see the balances that have been entered on the specified As Of Date.
- Applicable Templates:
  Pivot: As of Date Summary by Currency and Account
  Detail As of Date/Range Date Report  
Range Day Report
- Specify the required date range in the Balance Date From/To Parameters
- When run in this mode the report shows the balances entered for every date within the date range.
- Balances are not rolled forward in this mode.
- Applicable Templates:
  Detail As of Date/Range Date Report  
Actual vs Projected Report
- The report includes actual and projected balances in both As Of Date and Date Range Modes
- Optionally specify the actual balance type to be compared to the projected balance in the  'Actual vs Projected Balance Type' parameter. When specified, the variance between the actual balance and projected balance will be displayed in the report.
- Applicable Templates:
  Pivot: As of Date Summary by Currency and Account
  Detail As of Date/Range Date Report  
Sources: 
Bank Account Balance Single Date Report (CEBABSGR)
Bank Account Balance Range Day Report (CEBABRGR)
Bank Account Balance Actual vs Projected Report (CEBABAPR)
DB package:  CE_CEXSTMRR_XMLP_PKG (required to initialize security)
</t>
  </si>
  <si>
    <t>CE Bank Account Balances</t>
  </si>
  <si>
    <t>This Report is the repository of all bank branches covering both internal and external bank accounts and will list the bank branches along with an indication of usage:
-Internal
-Supplier
-Customer
</t>
  </si>
  <si>
    <t>CE Bank Branches</t>
  </si>
  <si>
    <t>Application: Cash Management
Source: Bank Statement Import Execution Report
Short Name: CEIMPERR
DB package: CE_CEXINERR_XMLP_PKG</t>
  </si>
  <si>
    <t>CE Bank Statement Import Execution</t>
  </si>
  <si>
    <t>Application: Cash Management
Description: Bank Statements - Bank Statement Details and Reconciliation
Provides equivalent functionality to the following standard Oracle Forms/Reports
- Bank Statements and Reconciliation Form
  Applicable Templates:
  Pivot: Bank Statement by Transaction Type
  Bank Statement Detail
  Bank Statement Detail with Reconciled Trxs
- Bank Statement Summary Report
   Applicable Templates:
   Pivot: Bank Statement by Transaction Type
   Bank Statement Summary
- Bank Statement Detail Report
   Applicable Templates:
  Pivot: Bank Statement by Transaction Type
  Bank Statement Detail
  Bank Statement Detail with Reconciled Trxs
This Blitz Report offers an extended set of parameters over and above the standard form/reports to search for specific reconciled transactions.
Sources: 
Bank Statement Detail Report (CEXSTMRR)
Bank Statement Summary Report (CEXSTMSR)
DB package:  CE_CEXSTMRR_XMLP_PKG (required to initialize security)
</t>
  </si>
  <si>
    <t>CE Bank Statement and Reconciliation</t>
  </si>
  <si>
    <t>Imported from BI Publisher
Description: Bank Transaction Codes
Application: Cash Management
Source: Bank Transaction Codes Listing 
Short Name: CEXTRXCD
DB package: CE_CEXTRXCD_XMLP_PKG</t>
  </si>
  <si>
    <t>CE Bank Transaction Codes Listing</t>
  </si>
  <si>
    <t>Application: Cash Management
Description: Cash in Transit
Provides equivalent functionality to the following standard Oracle Forms/Reports
- Cash in Transit
Applicable Templates:
- Pivot: Cash in Transit - Pivot: Bank Account Currency, Bank Account, In Transit Type, Operating Unit, Third Party (Supplier/Customer) with drill down to details
- Cash In Transit Detail - Detail Extract
Source: Cash in Transit (CEXCSHTR)
DB package: CE_CEXCSHTR_XMLP_PKG (required to initialize security)
</t>
  </si>
  <si>
    <t>CE Cash in Transit</t>
  </si>
  <si>
    <t>Application: Cash Management
Description: Transactions - Cleared Payment/Receipt Transactions
Provides equivalent functionality to the following standard Oracle Forms/Reports
- Cleared Transactions Report
  Applicable Templates:
  Pivot: Cleared Transactions Summary
  Pivot: Cleared Batches Summary
Source: Cleared Transactions Report (CEXCLEAR)
DB package: CE_CEXCLEAR_XMLP_PKG (required to initialize security)
</t>
  </si>
  <si>
    <t>CE Cleared Transactions</t>
  </si>
  <si>
    <t>Application: Cash Management
Description: Cash Account Usage
This report details the General Ledger Cash Accounts assigned to Bank Accounts, and their usage.
The following templates are available:
Pivot: Bank Accounts, Assigned Cash Accounts - Pivot by Bank Account, Cash Account showing cash account usage within each bank account.
Pivot: Cash Account, Assigned Bank Accounts - Pivot by Cash Account, Bank Account, showing cash account usage within each bank account. 
</t>
  </si>
  <si>
    <t>CE General Ledger Cash Account Usage</t>
  </si>
  <si>
    <t>Application: Cash Management
Description: Bank Statements - General Ledger Reconciliation
Provides equivalent functionality to the following standard Oracle Forms/Reports
- General Ledger Reconciliation Report
  Applicable Templates:
  Pivot: Reconciliation Summary
Source: General Ledger Reconciliation Report
Short Name: CEXRECRE
DB package: CE_CEXRECRE_XMLP_PKG</t>
  </si>
  <si>
    <t>CE General Ledger Reconciliation</t>
  </si>
  <si>
    <t>Application: Cash Management
Description: Transactions - Transactions Available for Reconciliation
Provides equivalent functionality to the following standard Oracle Forms/Reports
- Transactions Available for Reconciliation Report
  Applicable Templates:
  Pivot: Transactions Available by Bank Account, Source and Type
Source: Transactions Available for Reconciliation Report (CEXAVTRX)
DB package: CE_CEXSTMRR_XMLP_PKG (required to initialize security)</t>
  </si>
  <si>
    <t>CE Transactions Available for Reconciliation</t>
  </si>
  <si>
    <t>Capacity</t>
  </si>
  <si>
    <t>Detail report showing the date range availability of each resource, as well as daily hours and unit capacity of the resource.</t>
  </si>
  <si>
    <t>CRP Available Resources</t>
  </si>
  <si>
    <t>Detail report for each resource code, showing the resource date, hours, work start and end date, type of work scheduled, and the quantity scheduled.</t>
  </si>
  <si>
    <t>CRP Resource Plan</t>
  </si>
  <si>
    <t>Installed Base</t>
  </si>
  <si>
    <t>Imported Oracle standard Installed Base Customer Products Summary report
Source: CSI: Customer Products Summary Report (XML)
Short Name: CSICPREP_XML
DB package: CSI_CSICPREP_XMLP_PKG</t>
  </si>
  <si>
    <t>CSI Customer Products Summary</t>
  </si>
  <si>
    <t>Master data report of extended Installed Base attribute levels and names</t>
  </si>
  <si>
    <t>CSI Installed Base Extended Attributes Summary</t>
  </si>
  <si>
    <t>Count of installed base products by hierarchy type (parent / child), instance usage and related organizations, such as sold from and owner operating unit, last validation and master inventory organization</t>
  </si>
  <si>
    <t>CSI Installed Base Summary by Organization</t>
  </si>
  <si>
    <t>Imported from Concurrent Program
Application: Bills of Material
Source: AP and PO Accrual Reconciliation Report
Short Name: CSTACRAP
</t>
  </si>
  <si>
    <t>CST AP and PO Accrual Reconciliation</t>
  </si>
  <si>
    <t>Imported from Concurrent Program
Application: Bills of Material
Source: COGS Revenue Matching Report
Short Name: CSTRCMRX
The COGS/Revenue Matching Report displays earned and unearned (deferred) revenue, and cost of goods sold amounts for sales orders issues specified in the report's run-time parameters.
The report displays shipped sales order and associated sales order lines and shows the accounts where the earned and deferred COGS were charged.
The report is based on the Revenue and COGS Matching functionality delivered in Oracle EBS R12. Please refer to the following documentation regarding this functionality:
- Oracle Cost Management User Guide, Section: Revenue and COGS Matching
- MOS Document 1060202.1 Understanding COGS and DCOGS Recognition Accounting
Revenue / COGS Recognition Process Flow
=======================================
When you ship confirm one or more order lines in Oracle Order Management and then run the applicable Cost Management cost and accounting processes, the cost of goods sold associated with the sales order line is immediately debited to a Deferred COGS account pending the invoicing and recognition of the sales order revenue in Oracle Receivables.
When Oracle Receivables recognizes all or part of the sales revenue associated with a sales order line, you run a cost process that calculates the percentage of total billed revenue recognized. Oracle Inventory then creates a cost recognition transaction that adjusts the Deferred COGS and regular COGS amount for the order line. The proportion of total shipment cost that is recognized as COGS will always match the proportion of total billable quantity that is recognized as revenue.
Revenue / COGS Recognition Concurrent Processes
================================================
It is recommended the Revenue and COGS concurrent processes be run in the following order:
Run the AR Concurrent Processes first:
- Autoinvoice Master Program.  Run autoinvoice to generate the invoice transactions.
- Revenue Recognition. Run the Revenue Recognition Master Program to generate the AR revenue recognition
Then the COGS Concurrent Processes:
- Record Order Management Transactions
 The Record Order Management Transactions concurrent process picks up and costs all uncosted sales order issue and RMA return transactions and creates a record for each new order line in the costing COGS recognition matching table. This process is not for Perpetual Discrete Costing (Standard, Average, FIFO). In Discrete Costing, the cost processor selects and costs the uncosted sales order issues and inserts them into the COGS matching table
- Collect Revenue Recognition Information
 The Collect Revenue Recognition Information concurrent process calls an Oracle Receivables API to retrieve the latest revenue recognition percentage of all invoiced sales order lines in Oracle receivables for a specific ledger and with activity dates within a user-specified date range. This process must be run before the Generate COGS recognition Event concurrent process.
- Generate COGS Recognition Events
 The Generate COGS Recognition Events concurrent request compares the COGS recognition percentage for each sales order line and accounting period combination to the current earned revenue percentage. When the compared percentages are different, the process raises a COGS recognition event and creates a COGS recognition transaction in Oracle Inventory that adjusts the ratio of earned and deferred COGS to match that of earned and deferred revenue. You must run this process after completion of the Collect Revenue Recognition Information concurrent process.
</t>
  </si>
  <si>
    <t>CST COGS Revenue Matching</t>
  </si>
  <si>
    <t>Master data report that lists all item cost groups along with their corresponding GL posting codes and descriptions.</t>
  </si>
  <si>
    <t>CST Cost Groups</t>
  </si>
  <si>
    <t>Detail report that lists each item and the associated costs to be recognized as part of total unit cost of producing the item.</t>
  </si>
  <si>
    <t>CST Detailed Item Cost</t>
  </si>
  <si>
    <t>Report: CST Inventory Value - Multi-Organization (Item Costs)
Description: 
The Inventory Value Report can be used to report  Inventory Value by 
- Elemental Item Cost level 
- Quantity Type (Onhand, Intransit, Receiving)
The report can be used to analyze inventory value by Ledger, Operating Unit, Organization, Subinventory, Item Category, Cost Group
The report corresponds to the following standard Oracle Reports
- Elemental Inventory Value Report
- All Inventories Value Report 
The report can be run across multiple Inventory Organizations
Templates are provided that match the existing standard Oracle Reports of the same name:
- All Inventories Value
- All Inventories Value by Cost Group
- Elemental Inventory Value
- Elemental Inventory Value by Subinventory
- Elemental Inventory Value by Cost Group
- Intransit Value Report
New parameter added: Show Shipment Details
If this parameter is set to Y, columns related to shipment details will be included, such as Shipment Number, Ship Date, FOB Point, etc.
DB package: XXEN_INV_VALUE
Notes:
To run the report including non-costed items the As of Date parameter must be left blank (current date). The report cannot be run historically when including non-costed items due to a bug in the Oracle API uses to populate the interminm costing tables used by the report. The API will error with the following error, however the report will complete but  return no data: ORA-01403: no data found in Package CST_Inventory_PVT Procedure Calculate_InventoryCost
</t>
  </si>
  <si>
    <t>CST Inventory Value - Multi-Organization (Item Costs)</t>
  </si>
  <si>
    <t>Imported Oracle standard inventory value subinventory report by item cost
Source: Inventory Value Report - by Subinventory (XML)
Short Name: CSTRINVR_XML
DB package: BOM_CSTRINVR_XMLP_PKG</t>
  </si>
  <si>
    <t>CST Inventory Value Report - by Subinventory (Item Cost)</t>
  </si>
  <si>
    <t>Flexible costing set of reports -  analyze item costs for any cost type. 
Choose from the following options:
Choose one of the following options:
Activity Summary - Report item costs by activity.
Activity by Department - Report item costs by activity and department.
Activity by Flexfield Segment Value - Report item costs by the descriptive flexfield segment you enter.
Activity by Operation - Report item costs by activity and operation sequence number.
Element	- Report item costs by cost element and cost level.
Element by Activity - Report item costs by cost element and activity.
Element by Department - Report item costs by cost element and department.
Element by Operation - Report item costs by cost element and operation sequence number.
Element by Sub-Element - Report item costs by cost element and sub-element.
Operation Summary by Level - Report item costs by operation sequence number and cost level.
Operation by Activity - Report item costs by operation sequence number and activity.
Operation by Sub-Element - Report item costs by operation sequence number and sub-element.
Sub-Element - Report item costs by sub-element.
Sub-Element by Activity - Report item costs by sub-element and activity.
Sub-Element by Department - Report item costs by sub-element and department.
Sub-Element by Flexfield Segment Value - Report item costs by the descriptive flexfield segment you enter.
Sub-Element by Operation - Report item costs by sub-element and operation sequence number.
</t>
  </si>
  <si>
    <t>CST Item Cost Reports</t>
  </si>
  <si>
    <t>Imported from Concurrent Program
Application: Bills of Material
Source: Miscellaneous Accrual Reconciliation Report
Short Name: CSTACRMI
DB package:</t>
  </si>
  <si>
    <t>CST Miscellaneous Accrual Reconciliation</t>
  </si>
  <si>
    <t>Summary report that lists selected operating units with corresponding sub inventory code and Inventory value on a historic basis.</t>
  </si>
  <si>
    <t>CST Period Close Subinventory Value</t>
  </si>
  <si>
    <t>Summary report that lists selected ledgers and operating units with corresponding sub inventory code and Inventory value.With Ledger export capability.</t>
  </si>
  <si>
    <t>CST Period Close Subinventory Value Summary</t>
  </si>
  <si>
    <t>Imported from BI Publisher
Description: Periodic Inventory Value Report
Application: Bills of Material
Source: Periodic Inventory Value Report (XML)
Short Name: CSTRPICR_XML
DB package: BOM_CSTRPICR_XMLP_PKG</t>
  </si>
  <si>
    <t>CST Periodic Inventory Value</t>
  </si>
  <si>
    <t>Report: CST Subinventory Account Value - Multi-Org
Description:
Shows onhand inventory value broken down by GL account and cost element across multiple organizations.
For each subinventory, the report unpivots inventory value into separate rows per cost element (Material, Material Overhead, Resource, Outside Processing, Overhead), each showing the GL account where that cost element is recorded.
Asset subinventories show 5 rows per item (one per cost element).
Expense subinventories show 1 row per item with total cost under the expense account.
Account determination follows Oracle standard costing rules:
- Standard costing: accounts from subinventory setup (mtl_secondary_inventories)
- Average/FIFO/LIFO costing: accounts from organization defaults (mtl_parameters)
- Cost group accounting: accounts from cost group accounts (cst_cost_group_accounts)
Corresponds to Oracle standard report: Subinventory Account Value Report (CSTRSAVR)
The report can be run across multiple Inventory Organizations.
DB package: XXEN_INV_VALUE</t>
  </si>
  <si>
    <t>CST Subinventory Account Value - Multi-Org</t>
  </si>
  <si>
    <t>This report is based on the (static) Oracle Supply Chain Indented Bills of Material Cost Report and merely sums up the available information from the Cost Type.  It does not do a Cost Rollup and as a result, the "Extended Cost" column might not add up to the total item cost for the assembly especially  if changes have been made to the bills of material, routing or item costs, since the last cost rollup.  If this is the case, run a Supply Chain Cost Rollup in Pending or some other cost type (such as Current) for reporting purposes, to synchronize the cost information and then use this report, using the same cost type, to correctly report your item costs.
Imported from BI Publisher
Description: Supply Chain Indented Bills of Material Cost Report
Application: Bills of Material
Source: Supply Chain Indented Bills of Material Cost Report (XML)
Short Name: CSTRSCCRI_XML
DB package: BOM_CSTRSCCR_XMLP_PKG
-- |  Version   Modified on       Modified  by              Description
-- |  ======= ===========   ==============  =========================================
-- |  1.0            04-APR-2023    Eric Clegg               Initial Conversion
--|   1.1            24-DEC-2023   Eric Clegg               Added Multi-Select Item Parameter</t>
  </si>
  <si>
    <t>CST Supply Chain Indented Bills of Material Cost</t>
  </si>
  <si>
    <t>Application: Bills of Material
Description: Uninvoiced Receipts Report
Templates: Select a template to show Accruals summarized by 
- PO/Release Distributions (Default)
- PO/Release Shipments
- PO/Release Lines
Each template includes a Pivot summarizing the accruals by Accrual Account and the Pivot/Sort Parameter Value (Vendor, Category, PO/Release Number)
Source: Uninvoiced Receipts Report
Short Name: CSTACREP
DB Package: XXEN_CST</t>
  </si>
  <si>
    <t>CST Uninvoiced Receipts</t>
  </si>
  <si>
    <t>Database Administration</t>
  </si>
  <si>
    <t>Active session history from the automatic workload repository</t>
  </si>
  <si>
    <t>DBA AWR Active Session History</t>
  </si>
  <si>
    <t>Summary of blocked and blocking sessions based on the active session history from the AWR.
The link to blocking sessions is deliberately nonunique without jointing to sample_id to increase the chance to fetch the blocking session's additional information such as module, action and client_id.
In some cases, such as row lock scenarios, the blocking session is idle and does not show up in the ASH.
We recommend doing further analysis with a pivot in Excel rather than by SQL, as Excel's drag- and drop is a lot faster than typing commands manually.</t>
  </si>
  <si>
    <t>DBA AWR Blocking Session Summary</t>
  </si>
  <si>
    <t>Aggregates active sessions by snapshot time to identify times with high CPU load over a specific 'CPU Sessions From' threshold value.</t>
  </si>
  <si>
    <t>DBA AWR CPU Load (active session history)</t>
  </si>
  <si>
    <t>Summary of database CPU vs. wait times and average active sessions for a specified time frame
To see data in this report based on dba_hist_sys_time_model, set the following:
alter session set container=PDB1;
alter system set awr_pdb_autoflush_enabled=true;
https://www.enginatics.com/blog/updated-dba-awr-blitz-reports-now-work-with-plugglable-databases/</t>
  </si>
  <si>
    <t>DBA AWR CPU vs Wait Time Summary</t>
  </si>
  <si>
    <t>Displays information about the usage of an interconnect device by instance in a RAC configuration.
ipq - Parallel query communications
dlm - Database lock management
cache - Global cache communications
All other values are internal to Oracle and are not expected to have high usage.</t>
  </si>
  <si>
    <t>DBA AWR Interconnect Traffic</t>
  </si>
  <si>
    <t>Summary of latch statistics such as misses and wait times for a specified snapshot time interval</t>
  </si>
  <si>
    <t>DBA AWR Latch Summary</t>
  </si>
  <si>
    <t>Latch contention wait time history.
Each row shows the system-wide latch contention wait time per latch name of one AWR snapshot interval to identify high latch contention at specific times.</t>
  </si>
  <si>
    <t>DBA AWR Latch by Time</t>
  </si>
  <si>
    <t>History of database PGA size and other statistics from v$pgastat in megabytes</t>
  </si>
  <si>
    <t>DBA AWR PGA History</t>
  </si>
  <si>
    <t>Execution plan history for a particular SQL id from the automatic workload repository</t>
  </si>
  <si>
    <t>DBA AWR SQL Execution Plan History</t>
  </si>
  <si>
    <t>Database SQL performance summary from the Automatic Workload Repository (AWR) tables to give an overview of top SQL load and performance issues.
The report shows the summarized execution stats such as elapsed time and IO figures for a certain timeframe for individual SQL_ID and plan hash value combinations.
All IO figures are shown in MB.
Parameter 'Level' can be switched to aggregate data either by Module or by individual SQL and to show summarised figures or to split them by day.
The default sorting shows the most CPU intensive SQLs on top, as the tuning goal is usually server load optimization.
Other performance bottlenecks, such as wait times caused by Network e.g. 'SQL*Net message from dblink', can be spotted when sorting by 'elapsed time' instead of CPU.
Columns:
- Responsibility: Derived from the SGA's action column for initialized EBS sessions.
- Module Name: Derived from the SGA's module column for initialized EBS sessions.
- Module: SGA's module. Please note that if the same SQL is executed by different modules, it appears only once in this report. Thus, the module name column could be misleading as it shows the name of the first module parsing the SQL only.
-Code and Code Line#: Code package and line number of the SQL, in case it is still in the cursor cache
-Sql Id: Hash identifier for an individual SQL.
-Plan Hash Value: Hash identifier for one particular execution plan. Please note that similar but different SQLs might share exactly the same plan hash value if their execution path is identical.
-Sql Text
-Executions: Total number of executions
-Elapsed Time: Total elapsed time in seconds
-Time: Total elapsed time in a readable format split into days, hours, minutes and seconds
-User Io Wait Time: Total elapsed time in seconds from wait event class 'User I/O'
-Cpu Time: Total elapsed time in seconds that the SQL spent on CPU. High figures here usually indicate that massive amounts of data are read from the buffer cache
-IO Factor: Indicates how much faster the query would execute without wait IO times or unlimited memory
-Plsql Exec Time: Total elapsed time in seconds for PLSQL execution
-Concurrency Wait Time: Total elapsed time in seconds from wait event class 'Concurrency' e.g. 'buffer busy waits' or 'enq: TX - index contention'
-Application Wait Time: Total elapsed time in seconds from wait event class 'Application' e.g. 'enq: TX - row lock contention', an uncommitted session's update blocking another session.
-Time Exec: Average elapsed time per execution
-Buffer IO: Total buffer IO in megabtes. This is the most important figure to look at from a server load perspective.
-Disk IO: Total physical IO
-IO Exec: Total IO per execution.
-Rows Exec: Average number of rows per execution
-IO Row: Average IO per individual row retrieved. For data extraction SQLs without any sort of data aggregation, the average IO per row is a good indication if the IO spent is reasonable or if the SQL executes efficiently or not.
-IO Sec: Average IO in MB per second during SQL execution time.
-IO Sec Avg: Average IO in MB per second per overall server time (to indicate the average IO server load of the individual SQL).
-Execs Per Hour: Number of SQL executions per hour
-Time Percentage: Average percentage of the overall server time that the SQL is running. 50% indicates a SQL is running half of the server time, 400% means the same SQL is running constantly 4 times in parallel
-Is Bind Sensitive: Indicates the DB's 'adaptive cursor sharing' feature. A value of 'Y' means, the DB might consider a different explainplan for different bind values. Note that for transactional SQLs such as the ones used by Oracle EBS, the execution path should usually not change. Thus, a value of 'Y' often indicates 'instable' SQLs or SQLs where the optimizer struggles to find the best execution path.
-Is Bind Aware: 'adaptive cursor sharing' feature. A value of 'Y' means, the DB considers a differ</t>
  </si>
  <si>
    <t>DBA AWR SQL Performance Summary</t>
  </si>
  <si>
    <t>Automatic workload repository settings such as retention period, snapshot interval and number of top SQLs to capture (from table underlying the view dba_hist_wr_control).
Note that for executing Blitz Report queries on AWR data, you require a Diagnostic pack license as explained in Oracle's note KB136730:
https://support.oracle.com/support/?kmContentId=1490798
topnsql=DEFAULT means the database captures the top 30 SQLs from 5 different categories (Elapsed Time, CPU Time, Parse Calls, Shareable Memory, Version Count) for each snapshot interval.
So the default setting would capture a maximum of 150 different SQLs per snapshot, depending on system load.
Settings are modified by package dbms_workload_repository where interval parameters passed are specified in minutes.
Example: A 35 days retention with snapshot intervals of 30 minutes and 50 top SQLs captured is set as follows:
exec dbms_workload_repository.modify_snapshot_settings (retention=&gt;35*1440, interval=&gt;30, topnsql=&gt;50);
A common problem is that AWR records are not getting purged, see Oracle note 1292724.1.
If column 'Orphan Sess History Count' is bigger than zero, then orphan records not belonging to the current DB's snapshots should get purged either 'manually' table by table:
delete /*+ parallel(x 4) */ from wrh$_active_session_history wash where (wash.dbid, wash.instance_number, wash.snap_id) not in (select ws.dbid, ws.instance_number, ws.snap_id from wrm$_snapshot ws)
alter table wrh$_active_session_history shrink space cascade;
or by a generic script:
begin
for c in (
select x.* from (
select distinct
dt.num_rows,
dt.row_movement,
dtc.table_name,
listagg(dtc.column_name,', ') within group (order by dtc.column_name) over (partition by dtc.table_name) table_columns,
count(*) over (partition by dtc.table_name) column_count
from
dba_tables dt,
dba_tab_columns dtc
where
dt.owner=dtc.owner and
dt.table_name=dtc.table_name and
dtc.owner='SYS' and
dtc.table_name like 'WRH$\_%' escape '\' and
dtc.column_name in ('DBID','INSTANCE_NUMBER','SNAP_ID')
) x
where
x.table_columns in ('DBID, INSTANCE_NUMBER, SNAP_ID','DBID, SNAP_ID')
order by
x.num_rows desc
) loop
  if c.table_columns='DBID, INSTANCE_NUMBER, SNAP_ID' then
    execute immediate '
    delete /*+ parallel(x 4) */
    '||c.table_name||' x
    where
    x.dbid is not null and
    x.instance_number is not null and
    x.snap_id is not null and
    (x.dbid, x.instance_number, x.snap_id) not in (select ws.dbid, ws.instance_number, ws.snap_id from wrm$_snapshot ws)';
    dbms_output.put_line(sql%rowcount||' records deleted from '||c.table_name);
  elsif c.table_columns='DBID, SNAP_ID' then
    execute immediate '
    delete /*+ parallel(x 4) */
    '||c.table_name||' x
    where
    x.dbid is not null and
    x.snap_id is not null and
    (x.dbid, x.snap_id) not in (select ws.dbid, ws.snap_id from wrm$_snapshot ws)';
    dbms_output.put_line(sql%rowcount||' records deleted from '||c.table_name);
  end if;
  if c.row_movement='ENABLED' then
    execute immediate 'alter table '||c.table_name||' shrink space cascade';
    dbms_output.put_line(c.table_name||' shrinked');
  end if;
  commit;
end loop;
end;
To purge obsolete data from old DBIDs:
http://www.strategicdbs.com/p/removing-old-dbid-data.html
begin
for c in (select distinct dfus.dbid from dba_feature_usage_statistics dfus where dfus.dbid not in (select vd.dbid from v$database vd)) loop
 dbms_swrf_internal.unregister_database(c.dbid);
end loop;
delete wri$_dbu_usage_sample wdus where wdus.dbid not in (select vd.dbid from v$database vd);
delete wri$_dbu_feature_usage wdfu where wdfu.dbid not in (select vd.dbid from v$database vd);
delete wri$_dbu_high_water_mark wdhwm where wdhwm.dbid not in (select vd.dbid from v$database vd);
delete wri$_dbu_cpu_usage wdcu where wdcu.dbid not in (select vd.dbid from v$database vd);
delete wri$_dbu_cpu_usage_sample wdcus where wdcus.dbid not in (select vd.dbid from v$database vd);
commit;
end;</t>
  </si>
  <si>
    <t>DBA AWR Settings</t>
  </si>
  <si>
    <t>Historic system statistics from the automated workload repository showing CPU load, wait time percentage, logical (buffer/RAM) and physical read and write IO figures, summarized in snapshot time intervals. All IO figures are measured in MB/s.
-CPU%: Total CPU usage percentage. If this is low, the hardware is underused and performance could potentially get improved by using it better e.g. by resolving IO bottlenecks (bigger RAM, faster storage) or parallelization of SQLs and user processes.
-WAIT%: Percentage of time that the DB process spends waiting rather than processing. If the wait% is high and most of the wait time is spend e.g. waiting for IO, then the storage is too slow compared to CPU speed.
-BUFF_READ: Logical IO read from the buffer cache (RAM) in MB/s
-PHYS_READ: Physical IO read from the storage in MB/s
-PHYS_WRITE:  Physical IO written to the storage in MB/s
Note: The UOM calculation from LIOs to MB uses the database default block size and doesn't support different block sizes for different tablespaces.</t>
  </si>
  <si>
    <t>DBA AWR System Metrics Summary</t>
  </si>
  <si>
    <t>Historic system time model values from the automated workload repository showing a breakdown of how much percent of the database time was spent e.g. on excuting SQL, PL/SQL or Java code, parsing statements etc..
To see data in this report based on dba_hist_sys_time_model, set the following:
alter session set container=PDB1;
alter system set awr_pdb_autoflush_enabled=true;
https://www.enginatics.com/blog/updated-dba-awr-blitz-reports-now-work-with-plugglable-databases/</t>
  </si>
  <si>
    <t>DBA AWR System Time Percentages</t>
  </si>
  <si>
    <t>Historic system time model values from the automated workload repository showing how the database time was spent e.g. on excuting SQL, PL/SQL or Java code, parsing statements etc..
To see data in this report based on dba_hist_sys_time_model, set the following:
alter session set container=PDB1;
alter system set awr_pdb_autoflush_enabled=true;
https://www.enginatics.com/blog/updated-dba-awr-blitz-reports-now-work-with-plugglable-databases/</t>
  </si>
  <si>
    <t>DBA AWR System Time Summary</t>
  </si>
  <si>
    <t>Tablespace usage over time from the AWR</t>
  </si>
  <si>
    <t>DBA AWR Tablespace Usage</t>
  </si>
  <si>
    <t>Non idle session wait times by wait class over time.
Each row shows the system-wide wait time per wait class of one AWR snapshot interval to identify unusual wait events that occured at specific times.
Use the Session Type parameter to restrict either to foreground, background or all server processes.
To see data in this report based on dba_hist_system_event, set the following:
alter session set container=PDB1;
alter system set awr_pdb_autoflush_enabled=true;
https://www.enginatics.com/blog/updated-dba-awr-blitz-reports-now-work-with-plugglable-databases/</t>
  </si>
  <si>
    <t>DBA AWR Wait Class by Time</t>
  </si>
  <si>
    <t>Summary of wait times by wait event and event class for a specified snapshot time interval.
Use the Session Type parameter to restrict either to foreground, background or all server processes.
To see data in this report based on dba_hist_system_event, set the following:
alter session set container=PDB1;
alter system set awr_pdb_autoflush_enabled=true;
https://www.enginatics.com/blog/updated-dba-awr-blitz-reports-now-work-with-plugglable-databases/</t>
  </si>
  <si>
    <t>DBA AWR Wait Event Summary</t>
  </si>
  <si>
    <t>Wait event and CPU usage summary from the AWR active session history.</t>
  </si>
  <si>
    <t>DBA AWR Wait Event Summary (active session history)</t>
  </si>
  <si>
    <t>V$DIAG_ALERT_EXT shows the contents of the XML-based alert log in the Automatic Diagnostic Repository (ADR) for the current container (PDB).
You could schedule it, for example, in incremental mode to send an email with errors that occured since the last scheduled report run.</t>
  </si>
  <si>
    <t>DBA Alert Log</t>
  </si>
  <si>
    <t>If the database is running in ARCHIVELOG mode, the amount of generated archive log is shown.
For databases on NOARCHIVELOG, the approximate amount of generated redo is calculated by the number of log switches per hour and log file size. Note that this log rate is just an approximated maximum as switches could also occur without the log files being full.
Redo log files are located here:
select * from sys.v_$logfile</t>
  </si>
  <si>
    <t>DBA Archive / Redo Log Rate</t>
  </si>
  <si>
    <t>There are several automated jobs and 'advisors' running by default in an Oracle database that are often not required or should not run in Oracle EBS environments. Their status and history can be queried by the following SQLs:
select dao.* from dba_autotask_operation dao
select dajh.* from dba_autotask_job_history dajh
- Automatic Optimizer Statistics Collection
For EBS, the automated DB statistics collection must be deactivated by setting DB initialization parameter _optimizer_autostats_job=false, and concurrent 'Gather Schema Statistics' scheduled instead, see note KA1002 https://support.oracle.com/support/?kmContentId=11158187
- Automatic Segment Advisor
Identifies segments that have space available for reclamation, and makes recommendations on how to defragment those segments. This process causes significant IO overhead and we therefore recommend disabling the automated scheduling. It can be run on demand instead, in case DBAs would want to take action on optimizing the storage.
- Automatic SQL Tuning Advisor
Examines the performance of high-load SQL statements, and makes recommendations on how to tune those statements. In EBS environents, such automated tuning recommendations are typically useless, as the majority of performance issues is caused by incorrect custom SQL coding, e.g. lack of where-clause restrictions to allow index access or coding that prevents the optimizer from executing queries efficiently. The automatic tuning advisor can not optimize such SQLs, as it can not modify the SQL logic, which is required for most scenarios. We recommend deactivating the advisor to reduce processing overhead.
- Automatic Database Diagnostic Monitor (ADDM)
This job runs after each AWR snapshot and creates performance tuning recommendations. In environments which are  not actively monitored by DBAs such as development or test systems, this should be deactivated by setting alter system set "_addm_auto_enable"=false.
Blitz Report's DBA AWR reports give better and more detailed insights into performance bottlenecks, such as wait times or problematic SQLs.
To deactivate automated tasks individually, execute the following commands:
exec dbms_auto_task_admin.disable(client_name=&gt;'auto optimizer stats collection',operation=&gt;null,window_name=&gt;null);
exec dbms_auto_task_admin.disable(client_name=&gt;'auto space advisor',operation=&gt;null,window_name=&gt;null);
exec dbms_auto_task_admin.disable(client_name=&gt;'sql tuning advisor', operation=&gt;null,window_name=&gt;null);
To deactivate all automated tasks completely, execute the following commands:
exec dbms_auto_task_admin.disable;
alter system set "_addm_auto_enable"=false;</t>
  </si>
  <si>
    <t>DBA Automated Maintenance Tasks</t>
  </si>
  <si>
    <t>Chain of currently blocking and blocked database sessions from v$wait_chains</t>
  </si>
  <si>
    <t>DBA Blocking Sessions</t>
  </si>
  <si>
    <t>Benchmark report to measure a database server's CPU speed, mainly for PLSQL processing.
This report generates an output file of 500000 out of a total of 561495 records from a cartesian product based on EBS standard FND tables. These tables contain the same data for all EBS clients and the report can be used as a benchmark to test the database server's CPU performance.
As the query itself should complete in less than a second, most of the execution time is spend in PLSQL code to generate the Blitz Report output file.
To measure meaningful results, there should be enough SGA memory assigned to ensure that the execution time is entirely spent on CPU and not IO related wait events (to be confirmed using the DBA SGA Active Session History report).
example performance for different CPU types:
seconds	rows/s	CPU
8	62500	AMD Ryzen 9 5950X 16-Core Processor
12	41667
13	38462	AMD EPYC 7742 64-Core Processor
16	31250	Exadata CS X8M
20	25000	Intel(R) Xeon(R) Gold 6252 CPU @ 2.10GHz
22	22727	Intel(R) Xeon(R) CPU E5-2699 v4 @ 2.20GHz
23	21739	Intel(R) Xeon(R) CPU E5-2699 v3 @ 2.30GHz
25	20000	Intel(R) Xeon(R) CPU E5-2670 v2 @ 2.50GHz
28	17857	Intel(R) Xeon(R) CPU E5-2686 v4 @ 2.30GHz 
29	17241	Intel(R) Xeon(R) Platinum 8167M CPU @ 2.00GHz
39	12821	Intel(R) Xeon(R) Platinum 8167M CPU @ 2.00GHz
140	3571	SPARC-T5 chipid 1, clock 3600 MHz
Oracle Ace Johannes Michler from Promatis has written a blog about this topic:
https://promatis.com/de/benchmarking-cpus-for-oracle-e-business-suite-database/</t>
  </si>
  <si>
    <t>DBA CPU Benchmark1</t>
  </si>
  <si>
    <t>Benchmark report to measure a database server's CPU speed, mainly for PLSQL processing.
This report generates an output file of 200000 records from dual.
As the query itself should complete in less than a second, most of the execution time is spend in PLSQL code to generate the Blitz Report output file.
To measure meaningful results, there should be enough SGA memory assigned to ensure that the execution time is entirely spent on CPU and not IO related wait events (to be confirmed using the DBA SGA Active Session History report).
example performance for different CPU types:
seconds	rows/s	CPU
8	25000	AMD Ryzen 9 5950X 16-Core Processor
11	18182
12	16667	AMD EPYC 7742 64-Core Processor
13	15385	Exadata CS X8M
18	11111	Intel(R) Xeon(R) Gold 6252 CPU @ 2.10GHz
20	10000	Intel(R) Xeon(R) CPU E5-2699 v4 @ 2.20GHz
18	11111	Intel(R) Xeon(R) CPU E5-2699 v3 @ 2.30GHz
24	8333	Intel(R) Xeon(R) CPU E5-2670 v2 @ 2.50GHz
22	9091	Intel(R) Xeon(R) CPU E5-2686 v4 @ 2.30GHz 
24	8333	Intel(R) Xeon(R) Platinum 8167M CPU @ 2.00GHz
21	9524	Intel(R) Xeon(R) Platinum 8167M CPU @ 2.00GHz
65	3077	SPARC-T5, chipid 1, clock 3600 MHz
</t>
  </si>
  <si>
    <t>DBA CPU Benchmark2</t>
  </si>
  <si>
    <t>This Benchmark report measures a database server's CPU performance for arithmetic calculations by calculating about 40 million square roots.
example performance for different CPU types:
seconds	rows/s	CPU
7	285714	AMD Ryzen 9 5950X 16-Core Processor
13	153846	
12	166667	AMD EPYC 7742 64-Core Processor
31	64516	Exadata CS X8M
42	47619	Intel(R) Xeon(R) Gold 6252 CPU @ 2.10GHz
42	47619	Intel(R) Xeon(R) CPU E5-2699 v4 @ 2.20GHz
41	48780	Intel(R) Xeon(R) CPU E5-2699 v3 @ 2.30GHz
41	48780	Intel(R) Xeon(R) CPU E5-2670 v2 @ 2.50GHz
43	46512	Intel(R) Xeon(R) CPU E5-2686 v4 @ 2.30GHz 
49	40816	Intel(R) Xeon(R) Platinum 8167M CPU @ 2.00GHz
47	42553	Intel(R) Xeon(R) Platinum 8167M CPU @ 2.00GHz
115	17391	SPARC-T5, chipid 1, clock 3600 MHz</t>
  </si>
  <si>
    <t>DBA CPU Benchmark3</t>
  </si>
  <si>
    <t>Replicates the database initialization-parameter validation performed by Oracle's EBS Database Performance and Statistics Analyzer (My Oracle Support Doc 2126712.1 / KB627702), so DBAs no longer need to download, install and run that analyzer to check EBS parameter compliance.
Reference: https://support.oracle.com/rs?type=doc&amp;id=2126712.1
It compares the current instance settings in v$system_parameter2 against Oracle's required values for the running RDBMS version (11.1 / 11.2 / 12.1 / 19c) and EBS release, per My Oracle Support Doc 396009.1 / KA1002 ("Database Initialization Parameters for Oracle E-Business Suite").
https://support.oracle.com/support/?kmContentId=11158187
Three sections:
1. Mandatory Database Parameters - current vs required value, with a Check of OK / NOT FOUND:OK / ERROR.
2. Database Parameters to be Removed - parameters (and events) that are explicitly set but should be removed for the running RDBMS version.
3. Database Additional Parameters - other non-default parameters set on the instance, flagging hidden (underscore) parameters that should not be set.
By default the "Only show errors" parameter is Yes, so only actionable rows are shown (Check = ERROR, parameters to be removed, and hidden parameters that should not be set). Clear the parameter to list every checked parameter. Memory sizes are shown in M / G (e.g. 600M, 2G).
Prerequisite: APPS requires SELECT on v$system_parameter2 (v_$system_parameter2). On most EBS instances this grant already exists; if not, as SYSDBA run:
create or replace public synonym V$SYSTEM_PARAMETER2 for SYS.V_$SYSTEM_PARAMETER2;
grant select on sys.V_$SYSTEM_PARAMETER2 to apps;</t>
  </si>
  <si>
    <t>DBA Database Parameter Validation</t>
  </si>
  <si>
    <t>Hierarchical report showing all database objects using the specified object, e.g. a certain table and the report shows all the views or packages that are refrencing or depending on the specified table (bottom to top)</t>
  </si>
  <si>
    <t>DBA Dependencies (used by)</t>
  </si>
  <si>
    <t>Hierarchical report showing all dependent database objects that a specified object, e.g. a view or package name uses or depends on (top to bottom)</t>
  </si>
  <si>
    <t>DBA Dependencies (uses)</t>
  </si>
  <si>
    <t>Summary of editioned objects per edition from ADZDSHOWOBJS.sql
There is a good blog: https://www.pythian.com/blog/technical-track/adop-edition-cleanup</t>
  </si>
  <si>
    <t>DBA Editioned Object Summary</t>
  </si>
  <si>
    <t>Database editions, their type and status</t>
  </si>
  <si>
    <t>DBA Editions</t>
  </si>
  <si>
    <t>DBA External Table Creation</t>
  </si>
  <si>
    <t>Database license feature usage statistics, such as the number of times that an AWR HTML report was run</t>
  </si>
  <si>
    <t>DBA Feature Usage Statistics</t>
  </si>
  <si>
    <t>Excel version of Oracle's hierarchical profiler dbms_hprof PLSQL performance analysis.
PL/SQL units that have been compiled in NATIVE mode cannot be profiled.
To gather information, you must ensure that the PL/SQL code is INTERPRETED."
Before compilation of the profiled code, execute:
alter session set plsql_code_type=interpreted;
Create and setup access to profiler tables as sys:
exec dbms_hprof.create_tables(force_it=&gt;true);
create public synonym dbmshp_trace_data for sys.dbmshp_trace_data;
create public synonym dbmshp_runs for sys.dbmshp_runs;
create public synonym dbmshp_function_info for sys.dbmshp_function_info;
create public synonym dbmshp_parent_child_info for sys.dbmshp_parent_child_info;
create public synonym dbmshp_runnumber for sys.dbmshp_runnumber;
create public synonym dbmshp_tracenumber for sys.dbmshp_tracenumber;
grant select, insert, update, delete on dbmshp_trace_data to public;
grant select, insert, update, delete on dbmshp_runs to public;
grant select, insert, update, delete on dbmshp_function_info to public;
grant select, insert, update, delete on dbmshp_parent_child_info to public;
grant select on dbmshp_runnumber to public;
grant select on dbmshp_tracenumber to public;
To start and stop profiling code, use the following commands:
declare
l_trace_id pls_integer;
l_sqlmonitor_clob clob;
l_runid pls_integer;
begin
  l_trace_id:=dbms_hprof.start_profiling;
  xxen_api.clear; --code to profile
  l_sqlmonitor_clob:=dbms_hprof.stop_profiling;
  l_runid:=dbms_hprof.analyze(l_trace_id);
end;
To purge and reset the profiler data, execute the following as sys:
truncate table dbmshp_parent_child_info;
truncate table dbmshp_function_info;
truncate table dbmshp_runs;
truncate table dbmshp_trace_data;
alter sequence dbmshp_runnumber restart start with 1;
alter sequence dbmshp_tracenumber restart start with 1;</t>
  </si>
  <si>
    <t>DBA Hierarchical Profiler Data</t>
  </si>
  <si>
    <t>DBA Index Columns</t>
  </si>
  <si>
    <t>DBA Jobs</t>
  </si>
  <si>
    <t>DBA Log Switches</t>
  </si>
  <si>
    <t>Validates the Oracle REST Data Services (ORDS) configuration for Blitz Report webservices. Checks: ORDS schema enablement and URL mapping, REST module status, PL/SQL package validity, all 27 expected endpoint handlers and their ORDS template registrations, execute grants, URL-pattern privileges that intercept xxen_webservices calls and the OAuth client's role grants (catches HTTP 401 caused by pre-existing catch-all privileges), ORDS URL profile configuration with token endpoint validation, OAuth2 client_id/secret availability, and ORDS connection pool sessions. Use this report to diagnose ORDS connectivity issues including OAuth token 404 and 401 errors.</t>
  </si>
  <si>
    <t>DBA ORDS Configuration Validation</t>
  </si>
  <si>
    <t>Database object privileges for a specific user, including privileges inherited through role grants. Useful for DB access security audits to understand exactly what objects a user can access and how the access was granted (directly or through which role chain).</t>
  </si>
  <si>
    <t>DBA Object Access Privileges</t>
  </si>
  <si>
    <t>All database objects</t>
  </si>
  <si>
    <t>DBA Objects</t>
  </si>
  <si>
    <t>To validate recommended settings validate following notes:
Database Initialization Parameters for Oracle E-Business Suite Release 12 (Doc ID 396009.1)
EBS Database Performance and Statistics Analyzer (Doc ID 2126712.1)
Get Proactive with Oracle E-Business Suite - Product Support Analyzer Index (Doc ID 1545562.1)</t>
  </si>
  <si>
    <t>DBA Parameters</t>
  </si>
  <si>
    <t>Excel version of Oracle's dbms_profiler PLSQL performance analysis, see Oracle note:
Using DBMS_PROFILER (KB85737)
https://support.oracle.com/support/?kmContentId=97270
PL/SQL units that have been compiled in NATIVE mode cannot be profiled using the DBMS_PROFILER package.
To gather information using DBMS_PROFILER, you must ensure that the PL/SQL code is INTERPRETED."
Before compilation of the profiled code, execute:
alter session set plsql_code_type=interpreted;
To start and stop profiling code, use the following commands (see use https://docs.oracle.com/cd/B19306_01/appdev.102/b14258/d_profil.htm#i1000047):
dbms_profiler.start_profiler(optional run_comment);
dbms_profiler.stop_profiler;
To purge and reset the profiler data, execute the following as sys:
truncate table sys.plsql_profiler_data;
truncate table sys.plsql_profiler_units;
truncate table sys.plsql_profiler_runs;
alter sequence plsql_profiler_runnumber restart start with 1;</t>
  </si>
  <si>
    <t>DBA Profiler Data</t>
  </si>
  <si>
    <t>DBA Redo Log Files</t>
  </si>
  <si>
    <t>DBA_REGISTRY_SQLPATCH contains information about the SQL patches that have been installed in the database.
A SQL patch is a patch that contains SQL scripts which need to be run after OPatch completes. DBA_REGISTRY_SQLPATCH is updated by the datapatch utility. Each row contains information about an installation attempt (apply or roll back) for a given patch.</t>
  </si>
  <si>
    <t>DBA Registry SQL Patch</t>
  </si>
  <si>
    <t>Shows result cache objects with the current number cached results and their dependency on objects causing the most frequent invalidations.
Warning !!!
Don't run this on a prod system during business hours as prior to DB version 12.2, selecting from v$result_cache_objects apparently blocks all result cache objects (see note 2143739.1, section 4.).
You may end up with all server sessions waiting on 'latch free' for 'Result Cache: RC Latch' while the report is running.</t>
  </si>
  <si>
    <t>DBA Result Cache Objects and Dependencies</t>
  </si>
  <si>
    <t>Result cache statistics with size values in MB.
If the 'Maximum Size' is big enough, 'Create Count Failure' should be zero or low, same as 'Delete Count Valid', which depicts the number of valid cache results flushed out.
'Find Count' shows the number of cached results used (instead of executing the underlying sql/plsql) and should hence be as high as possible for maximum performance improvement.
A high number of 'Invalidation Count' or 'Delete Count Invalid' relative to 'Find Count' should get investigated further as it indicates a result_cache specified for code where the underlying data changes too frequently.
alter system set result_cache_max_size=600M scope=both</t>
  </si>
  <si>
    <t>DBA Result Cache Statistics</t>
  </si>
  <si>
    <t>Active session history from the SGA.
Parameter 'Blocked Sessions only' allows a blocking scenario root cause analysis, e.g. by doing a pivot in Excel (see example in the online library).
The link to blocking sessions is deliberately nonunique without jointing to sample_id to increase the chance to fetch the blocking session's additional information such as module, action and client_id.
In some cases, such as row lock scenarios, the blocking session is idle and does not show up in the ASH then.
For scenarios where the blocking sessions are active and part of the ASH, Tanel Poder has a treewalk ash_wait_chains.sql, showing the whole chain of ASH records linked by a unique join, including the sample_id:
https://blog.tanelpoder.com/2013/11/06/diagnosing-buffer-busy-waits-with-the-ash_wait_chains-sql-script-v0-2/
We recommend doing ASH performance analysis with a pivot in Excel rather than by SQL, as Excel's drag- and drop is a lot faster than typing commands manually.
A typical use case is to analyze which EBS application user waited for how many seconds in which forms UI and to drill down further into the SQL or wait event root causes.
Column 'Module Name' shows either the translated EBS module display name or, e.g. for background sessions, the process name (from the program column) to enable pivoting by this column only.
Oracle's background process names are listed here:
https://docs.oracle.com/database/121/REFRN/GUID-86184690-5531-405F-AA05-BB935F57B76D.htm#REFRN104
To identify an object or segment of a hot block, for example causing wait events, Oracle's dba_extents view is unusable due to performance bugs in 19c+, and Franck Pachot published a workaround here:
https://www.dbi-services.com/blog/efficiently-query-dba_extents-for-file_id-block_id/</t>
  </si>
  <si>
    <t>DBA SGA Active Session History</t>
  </si>
  <si>
    <t>Summary of blocked and blocking sessions based on the active session history from the SGA.
The link to blocking sessions is deliberately nonunique without jointing to sample_id to increase the chance to fetch the blocking session's additional information such as module, action and client_id.
In some cases, such as row lock scenarios, the blocking session is idle and does not show up in the ASH.
We recommend doing further analysis with a pivot in Excel rather than by SQL, as Excel's drag- and drop is a lot faster than typing commands manually.</t>
  </si>
  <si>
    <t>DBA SGA Blocking Session Summary</t>
  </si>
  <si>
    <t>SGA buffer cache space usage by object names (in MB).
'Object Percentage' shows how much of one particular object is currently stored in the buffer cache.
100% means that the object is completely in the buffer cache.
Current SGA memory usage is also listed in views:
select * from v$sga
select * from v$sgainfo
select * from v$sga_dynamic_components
Arup Nanda gives a good explanation on how the buffer cache works:
http://arup.blogspot.ch/2014/11/cache-buffer-chains-demystified.html</t>
  </si>
  <si>
    <t>DBA SGA Buffer Cache Object Usage</t>
  </si>
  <si>
    <t>DBA SGA CPU Load (active session history)</t>
  </si>
  <si>
    <t>Current SGA memory usage in gigabytes, showing the split between buffer cache and shared pool</t>
  </si>
  <si>
    <t>DBA SGA Memory Allocation</t>
  </si>
  <si>
    <t>Execution plan history for a particular SQL id from the SGA</t>
  </si>
  <si>
    <t>DBA SGA SQL Execution Plan History</t>
  </si>
  <si>
    <t>Database SQL performance summary from the SGA to give an overview of top SQL load and performance issues.
The purpose of this report, compared to 'DBA AWR SQL Performance Summary' is to retrieve SQLs which are not in the AWR, either becasue they ran after the most recent snapshot or because their performance impact is too small to be written to the AWR (see topnsql https://docs.oracle.com/database/121/ARPLS/d_workload_repos.htm#ARPLS69140).
This is useful for example to:
-Identify SQLs executed by a particular program or UI function without running a trace. Navigate to the UI functionality first, then directly after, execute this report and restrict to the module name in question. Sort by column 'Last Active Time'
-Identify SQLs and example bind variables to reproduce a SQL execution in a DB access tool. Switch parameter 'Show Bind Values' to 'Yes'
-Identify SQLs incorrectly using literals instead of binds. Set parameter 'Literals Duplication Count' to a value bigger than zero to show all SQLs which are at least duplicated this numer of times.</t>
  </si>
  <si>
    <t>DBA SGA SQL Performance Summary</t>
  </si>
  <si>
    <t>Orace's SGA target advice view.
It shows an estimation of how an SGA resize would affect overall database time and IO.</t>
  </si>
  <si>
    <t>DBA SGA Target Advice</t>
  </si>
  <si>
    <t>Wait event and CPU usage summary from the SGA active session history.</t>
  </si>
  <si>
    <t>DBA SGA Wait Event Summary (active session history)</t>
  </si>
  <si>
    <t>Current SGA and PGA memory configuration in gigabytes.
A frequent configuration problem is not making full use of the available hardware resources, especially the physical RAM of the database server.
This report shows the servers SGA, PGA and CPU configuration in comparison to the available hardware.
For maximum performance, configure the SGA+PGA to use the full available memory of your server minus a few gig for OS level caching, e.g. for writing and reading of PLSQL output files on the DB node and for process memory (an estimated 4MB per process, see below).
Oracle's performance tuning guide:
https://docs.oracle.com/en/database/oracle/oracle-database/12.2/tgdba/database-memory-allocation.html
Oracle's exadata best practices whitepaper:
SUM of databases (SGA_TARGET + PGA_AGGREGATE_TARGET) + 4 MB * (Maximum PROCESSES) &lt; Physical Memory per Database Node
Tom Kyte's recommendation:
"... if you want it all automatic, give ALL FREE MEMORY on your machine to the SGA and be done with it. No more monitoring, no more thinking about how it could be, should be, would be used.
Set the PGA aggregate target and the SGA target to be a tad less than physical memory on the machine and you are done."
https://asktom.oracle.com/pls/asktom/f?p=100:11:0::::P11_QUESTION_ID:30011178429375
The report also shows the status of system statistics.
select * from sys.aux_stats$
If CPUSPEEDNW still shows the default of 4096, it either means that the stats have never been gathered or it could also mean that your storage is too fast to gather them with the standard NOWORKLOAD method and you should set reasonable values manually then.
exec dbms_stats.gather_system_stats();
exec dbms_stats.set_system_stats('IOSEEKTIM',1);
exec dbms_stats.set_system_stats('IOTFRSPEED',85782);
There is also an Exadata mode, considering the faster storage correctly and updating the MBRC too
exec dbms_stats.gather_system_stats(‘EXADATA');
The following command checks if hugepages are configured and how many are in use:
grep Huge /proc/meminfo
https://access.redhat.com/solutions/320303
To configure hugepages, set the vm.nr_hugepages in the /etc/sysctl.conf file and hard and soft memlock in /etc/security/limits.conf for the oracle user.
/etc/sysctl.conf
vm.nr_hugepages = SGA GB x 512 + 5
/etc/security/limits.conf
oracle               soft    memlock (SGA GB x 512 + 5) * 2048
oracle               hard    memlock (SGA GB x 512 + 5) * 2048
https://www.enginatics.com/blog/how-to-configure-hugepages-for-oracle-ebs/
Check if all database parameters are set according to Oracle's requirement:
Database Initialization Parameters for Oracle E-Business Suite Release 12 (KA1002)
https://support.oracle.com/support/?kmContentId=11158187
To perform this check automatically, install and run Oracle's 'Database Performance and Statistics Analyzer' concurrent program (KB627702)
https://support.oracle.com/rs?type=doc&amp;id=2126712</t>
  </si>
  <si>
    <t>DBA SGA+PGA Memory Configuration</t>
  </si>
  <si>
    <t>DBA Scheduler Jobs</t>
  </si>
  <si>
    <t>Database segments such as tables, indexes, lob segments by size and total database size summary</t>
  </si>
  <si>
    <t>DBA Segments</t>
  </si>
  <si>
    <t>Estimated time to completion for long running sessions based on gv$session_longops</t>
  </si>
  <si>
    <t>DBA Session Longops</t>
  </si>
  <si>
    <t>Report with all table column names based on dba_tab_columns, as finding tables by column names is a frequent task during SQL development</t>
  </si>
  <si>
    <t>DBA Table Columns</t>
  </si>
  <si>
    <t>If table monitoring is activated, dba_tab_modifications shows the number of rows modified since the last time a table was analyzed.</t>
  </si>
  <si>
    <t>DBA Table Modifications</t>
  </si>
  <si>
    <t>Tablespace usage including currently active undo and temp tablepace usage in Megabytes</t>
  </si>
  <si>
    <t>DBA Tablespace Usage</t>
  </si>
  <si>
    <t>Full text search through database source code objects such as packages, procedures, functions, triggers etc.
The search can also be done using regular expressions.
To retrieve incorrect custom code such as a frequent performance issue calling the fnd_concurrent\.wait_for_request\s function with a zero interval time, for example, use parameter 'Multi Line Regex search' with the following value: fnd_concurrent\.wait_for_request\s*\(\s*request_id\s*=&gt;\s*\w+\s*,\s*interval\s*=&gt;\s*0\s*,</t>
  </si>
  <si>
    <t>DBA Text Search</t>
  </si>
  <si>
    <t>V$DIAG_TRACE_FILE_CONTENTS contains trace data that is present in the trace files that are part of the current Automatic Diagnostic Repository (ADR).
Supported starting from Oracle Database 12.2.</t>
  </si>
  <si>
    <t>DBA Trace File Contents</t>
  </si>
  <si>
    <t>Discoverer</t>
  </si>
  <si>
    <t>Discoverer access privileges</t>
  </si>
  <si>
    <t>DIS Access Privileges</t>
  </si>
  <si>
    <t>Summary report showing Discoverer business areas, with an access account showing how many times a business area's folder was used within the past x number of days.</t>
  </si>
  <si>
    <t>DIS Business Areas</t>
  </si>
  <si>
    <t>Diagnostic dump of all metadata and flattened staging data needed to reproduce the xxen_xdo Discoverer-to-Blitz conversion logic offline.
Outputs a single result set with rows discriminated by the data_type column. Each row populates only the columns relevant to its data_type; all others are null. The dump is used by a Python parser to investigate why workbook or worksheets in discoverer eex files are not converted into Blitz templates or reports
Data types emitted: OBJECT_USE_KEY (one per object_use_key in scope, with link to existing Blitz report if imported), WORKBOOK_LINK (object_use_key to doc_id/sheet_name/qs_id link), EUL_OBJ (eul5_objs metadata per folder, with dis_folder_sql2 for COBJ/CUO), QPP_STAT (eul5_qpp_stats per qs_id with join key_ids), KEY_CONS (eul5_key_cons rows for referenced keys), EXPRESSION (eul5_expressions rows with formula1 CLOB), STAGING_WORKBOOK (xxen_discoverer_workbooks rows), STAGING_SHEET (xxen_discoverer_sheets rows), STAGING_PIVOT (xxen_discoverer_pivot_fields rows), ITEM_SQL (per-item SQL via dis_formula_sql / xml_expression_to_sql), JOIN_PREDICATE (per-join SQL via dis_formula_sql), FROM_FRAGMENT (per-folder FROM-clause entry).
Filter parameters: End User Layer (required), Object Use Key (optional, restrict to specific OUKs), Include Imported (default Yes - include OUKs already converted to Blitz reports).</t>
  </si>
  <si>
    <t>DIS Converter Diagnostic Dump</t>
  </si>
  <si>
    <t>Shows the user adoption for companies replacing Discoverer with Blitz Report in a phased approach.
The report shows the number of Discoverer worksheets and Blitz Report executed every month per user, to help identifying the users still using Discoverer instead of Blitz Report.</t>
  </si>
  <si>
    <t>DIS Discoverer and Blitz Report Users</t>
  </si>
  <si>
    <t>Discoverer end user layers</t>
  </si>
  <si>
    <t>DIS End User Layers</t>
  </si>
  <si>
    <t>Discoverer folders, business areas and items.
Columns 'Access Count' and 'Last Accessed' shows how many times a folder was accessed by a worksheet within the past x days.
Parameter 'Show Active Only' restricts to folders which have been accessed by worksheet executions within the past x days.</t>
  </si>
  <si>
    <t>DIS Folders, Business Areas, Items and LOVs</t>
  </si>
  <si>
    <t>Query to review Discoverer to Blitz Report import performance, after running the 'Blitz Report Discoverer Import' concurrent program or mass migration script.
https://www.enginatics.com/user-guide/#Discoverer_Worksheet</t>
  </si>
  <si>
    <t>DIS Import Performance</t>
  </si>
  <si>
    <t>Discoverer items (expressions) and folders (objects), including join conditions and formulas (calculated items)</t>
  </si>
  <si>
    <t>DIS Items, Folders and Formulas</t>
  </si>
  <si>
    <t>This report identifies the missing EUL conditions defined at the folder level.</t>
  </si>
  <si>
    <t>DIS Migration identify missing EulConditions</t>
  </si>
  <si>
    <t>Discoverer end user layer users of different types (application user, responsibility, database user)</t>
  </si>
  <si>
    <t>DIS Users</t>
  </si>
  <si>
    <t>https://youtu.be/17_Au_11IBE
Use this report to migrate Discoverer workbooks to Blitz Report.
The migration process is described in the following link: https://www.enginatics.com/blog/discoverer-replacement-with-blitz-report/
1. Run this report 'DIS Workbook Export Script' to generate a list of commands to export xmls for all recently used Discoverer workbooks.
2. Create a new folder on a windows machine having the Discoverer Admin executable dis51adm.exe installed (contact Enginatics, if you need help with the Discoverer Administrator installation).
3. Open a Command Prompt window, cd to the new folder, and execute (copy and paste) the commands generated in step 1. This will start individual processes to export the workbooks as .eex files. Depending on your client capacity, you can run between 100 and 200 export processes at the same time. In case of errors, delete all zero size .eex files and rerun the script.
4. Zip together all generated (non-zero size) workbook_*.eex files. Do not include the generated *.log files. Note that the .zip needs to be created with older Windows10 compression methods, as the latest Windows11 method cannot be processed by the Oracle 19c database yet.
5. If you have more than one EUL, set the profile option 'Blitz Report Discoverer Default EUL' to the end user layer for which you run the migration
6. Navigate to Setup&gt;Tools&gt;Import&gt;XML Upload and upload the .zip file generated in step 4. You will see a message with the count of uploaded xml files.
7. Run concurrent program 'Blitz Report Discoverer Import' from the System Administrator responsibility, and specify a report name prefix to easily distinguish the migrated reports.
8. Verify the migration result by running reports:
'Blitz Report Parameter Uniqueness Validation' and correct the nonunique parameter names.
'Blitz Report LOV SQL Validation' and correct errors plus change slow 'distinct' style ones to fast SQLs
'Blitz Report SQL Validation' and correct problems
'Blitz Report Parameter Bind Variable Validation'
'DIS Migration identify missing EulConditions'
'Blitz Report Parameter Table Alias Validation'
'Blitz Reports' for Discoverer check for column 'required_parameters'
'Blitz Report Parameter Default Values' for discoverer check for default value having partition
'Blitz Report Templates' and search for Subtotals: Y in the description and train the users to switch compact pivot to tabular format
In case you need to completely re-run the Discoverer import, for example with a different cut-off date parameter, you can use the following script to purge the previously imported data:
declare
l_eul varchar2(30):='eul_us';
begin
  --Delete staging tables
  delete xxen_discoverer_workbook_xmls xdwx where xdwx.eul=l_eul;
  delete from xxen_discoverer_fnd_user xdfu where xdfu.eul=l_eul;
  delete from xxen_discoverer_pivot_fields xdpf where xdpf.eul=l_eul;
  delete from xxen_discoverer_sheets xds where xds.eul=l_eul;
  delete from xxen_discoverer_workbooks xdw where xdw.eul=l_eul;
  --Delete all reports from category 'Discoverer' and their related LOVs
  for c in (select xrca.report_id from xxen_report_categories_v xrcv, xxen_report_category_assigns xrca where xrcv.category='Discoverer' and xrcv.category_id=xrca.category_id) loop
    xxen_api.delete_report(c.report_id,'Y');
  end loop;
  for c in (select xrplv.lov_id from xxen_report_parameter_lovs_v xrplv where xrplv.description=upper(xrplv.description) and xrplv.lov_id not in (select xrp.lov_id from xxen_report_parameters xrp where xrp.parameter_type='LOV' and xrp.lov_id is not null)) loop
    xxen_api.delete_lov(c.lov_id);
  end loop;
  commit;
end;</t>
  </si>
  <si>
    <t>DIS Workbook Export Script</t>
  </si>
  <si>
    <t>Discoverer workbook migraton validation report showing the workbooks, sheets, how ofthen they were accessed within the given number of days, columns for the number of records in the different import process tables, and the created blitz report and template information.</t>
  </si>
  <si>
    <t>DIS Workbook Import Validation</t>
  </si>
  <si>
    <t>This export of workbook owners is required to remotely export workbook XMLs on the Enginatics environments for customers requiring support when migrating from Discoverer to Blitz Report.</t>
  </si>
  <si>
    <t>DIS Workbook Owner Export Script</t>
  </si>
  <si>
    <t>Discoverer workbooks, their owners, folders, items and item class LOVs, derived from dependency table eul5_elem_xrefs.</t>
  </si>
  <si>
    <t>DIS Workbooks, Folders, Items and LOVs</t>
  </si>
  <si>
    <t>Discoverer worksheet access statistics from table eul5_qpp_stats, including folder objects used.
Parameter 'Show Folder Details' switches between aggregate and list view of used folder objects.</t>
  </si>
  <si>
    <t>DIS Worksheet Execution History</t>
  </si>
  <si>
    <t>Discoverer worksheet access statistic summary from table eul5_qpp_stats to show the number of active Discoverer users, number of different workbooks and worksheets executed and the number of different folder (combinations) that these are based on.</t>
  </si>
  <si>
    <t>DIS Worksheet Execution Summary</t>
  </si>
  <si>
    <t>Discoverer worksheet SQL queries.
While the workbook documents are stored in a binary format in eul5_documents.doc_document and it's difficult extract their content (https://community.oracle.com/thread/2494216), there is an active trigger function
select ef.* from eul_us.eul5_functions ef where ef.fun_name='eul_trigger$post_save_document'
writing each worksheets' SQL query to table ams_discoverer_sql</t>
  </si>
  <si>
    <t>DIS Worksheet SQLs</t>
  </si>
  <si>
    <t>Enterprise asset management asset details such as location, department etc.</t>
  </si>
  <si>
    <t>EAM Assets</t>
  </si>
  <si>
    <t>Based on Oracle standard's EAM Weekly Schedule report
Application: Enterprise Asset Management
Source: EAM Weekly Schedule report (XML)
Short Name: EAMWSREP_XML
DB package: EAM_EAMWSREP_XMLP_PKG</t>
  </si>
  <si>
    <t>EAM Weekly Schedule</t>
  </si>
  <si>
    <t>Enterprise asset management work orders including asset and cost information</t>
  </si>
  <si>
    <t>EAM Work Orders</t>
  </si>
  <si>
    <t>Enterprise Command Center</t>
  </si>
  <si>
    <t>List of all concurrent programs required to synchronize Oracle EBS data to the Enterprise Command Centers (ECC) Weblogic server, based on Oracle note KA980 https://support.oracle.com/support/?kmContentId=11154162
The report includes all currently scheduled request_ids and responsibilities for incremental and full loads, to check which ones are already scheduled.
The short code can be used as multiple parameter value entry in other reports, e.g. https://www.enginatics.com/reports/fnd-access-control/ to see which responsibilities or users have access to schedule them, or https://www.enginatics.com/reports/fnd-concurrent-requests/ to look at past execution and schedule times.
ECC data is defined by dataset codes, which have a related DB package procedure containing the SQL for each dataset, see:
https://www.enginatics.com/reports/ecc-data-sets/
The individual load progams are all calling child program 'ECC Run Data Load' either for specific datasets or by application, and the program's java executable ECCRUNDL then executes the dataset SQL and transfers the data to the Weblogic server where it is stored in a file structure using Apache Lucene technology https://en.wikipedia.org/wiki/Apache_Lucene</t>
  </si>
  <si>
    <t>ECC Admin - Concurrent Programs</t>
  </si>
  <si>
    <t>Enterprise Command Center data load run history, including status, the load SQL and possible error messages in case of failures.
For description of the load process, see ECC Concurrent Programs https://www.enginatics.com/reports/ecc-concurrent-programs/</t>
  </si>
  <si>
    <t>ECC Admin - Data Load Tracking</t>
  </si>
  <si>
    <t>Enterprise Command Centers applications with data sets and load rule DB procedure names for incremental, full and metadata load.
For description of the load process, see ECC Concurrent Programs https://www.enginatics.com/reports/ecc-concurrent-programs/</t>
  </si>
  <si>
    <t>ECC Admin - Data Sets</t>
  </si>
  <si>
    <t>Enterprise Command Centers metadata attributes</t>
  </si>
  <si>
    <t>ECC Admin - Metadata Attributes</t>
  </si>
  <si>
    <t>Catalog of standard Enginatics uploads and reports.
All Enginatics report details can be seen here:
https://www.enginatics.com/library/?pg=1&amp;category[]=Enginatics</t>
  </si>
  <si>
    <t>Enginatics Blitz Reports and Uploads</t>
  </si>
  <si>
    <t>Application: Assets
Source: Additions By Source Report
Short Name: FASASSBS
</t>
  </si>
  <si>
    <t>FA Additions By Source</t>
  </si>
  <si>
    <t>Imported from BI Publisher
Description: Asset Additions Report
Application: Assets
Source: Asset Additions Report (XML)
Short Name: FAS420_XML
DB package: FA_FAS420_XMLP_PKG</t>
  </si>
  <si>
    <t>FA Asset Additions</t>
  </si>
  <si>
    <t>FA asset books with asset depreciation summary and financial transaction values.
Using parameters 'Show Calendar', 'Show Alternative Ledgers', 'Show Accounting Rules', 'Show Natural Accounts' shows the setup details of book controls.</t>
  </si>
  <si>
    <t>FA Asset Book Details</t>
  </si>
  <si>
    <t>Asset Costs Summary/Detail Report
Equivalent to Oracle Standard Reports:
Cost Summary Report
Cost Detail Report
DB package: XXEN_FA_FAS_XMLP</t>
  </si>
  <si>
    <t>FA Asset Cost</t>
  </si>
  <si>
    <t>Source: Asset Impairment Report
Short Name: FAXRASIM
DB package:</t>
  </si>
  <si>
    <t>FA Asset Impairments</t>
  </si>
  <si>
    <t>Imported Oracle standard asset inventory report
Source: Asset Inventory Report (XML)
Short Name: FAS410_XML
DB package: FA_FAS410_XMLP_PKG</t>
  </si>
  <si>
    <t>FA Asset Inventory</t>
  </si>
  <si>
    <t>Application: Assets
Source: Asset Inventory Report (Enginatics)</t>
  </si>
  <si>
    <t>FA Asset Inventory Report</t>
  </si>
  <si>
    <t>Application: Assets
Source: Asset Reclassification Report (XML) - Not Supported: Reserved For Future Use
Short Name: FAS740_XML
DB package: FA_FAS740_XMLP_PKG</t>
  </si>
  <si>
    <t>FA Asset Reclassification</t>
  </si>
  <si>
    <t>Application: Assets
Source: Asset Register Report (XML)
Short Name: FAS600_XML
DB package: FA_FAS600_XMLP_PKG</t>
  </si>
  <si>
    <t>FA Asset Register</t>
  </si>
  <si>
    <t>Imported from BI Publisher
Description: Asset Retirements Report
Application: Assets
Source: Asset Retirements Report (XML)
Short Name: FAS440_XML
DB package: FA_FAS440_XMLP_PKG
</t>
  </si>
  <si>
    <t>FA Asset Retirements</t>
  </si>
  <si>
    <t>Description: Asset Summary Report (Germany)
Application: Assets
This Blitz Report has been extended to allow it to be run across multiple Ledgers and/or Asset Books.
Source: Asset Summary Report (Germany)
Short Name: FASSUMRPT
DB package: XXEN_FA_FAS_XMLP</t>
  </si>
  <si>
    <t>FA Asset Summary (Germany)</t>
  </si>
  <si>
    <t>CIP (Construction in Progress) assets with invoice details.
Shows asset master information (category, location, tag, cost) alongside AP invoice lines that feed into CIP.
Run as-is for invoice-level detail, 
or pivot/group in Excel for an asset-level summary - Use template Asset Summary
Covers the use cases of:
- Monthly CIP Report - Asset Details (CapEx)
- Monthly CIP Report - CIP Invoice Activity</t>
  </si>
  <si>
    <t>FA CIP Assets and Invoices</t>
  </si>
  <si>
    <t>CIP Costs Summary/Detail Report
Equivalent to Oracle Standard Reports:
CIP Summary Report
CIP Detail Report
DB package: XXEN_FA_FAS_XMLP</t>
  </si>
  <si>
    <t>FA CIP Cost</t>
  </si>
  <si>
    <t>Imported from BI Publisher
Description: Cost Adjustments Report
Application: Assets
Source: Cost Adjustments Report (XML)
Short Name: FAS840_XML
DB package: FA_FAS840_XMLP_PKG</t>
  </si>
  <si>
    <t>FA Cost Adjustments</t>
  </si>
  <si>
    <t>Based on Oracle's 'Depreciation Projection Report' FASPRJ
Uses custom DB package call XXEN_FA_FAS_XMLP to launch Oracle standard Depreciation Projection concurrent FAPROJ. The data generation is explained in note:
How Does FA Depreciation Projections Handle Table FA_PROJ_INTERIM_XXX or FA_PROJ_INTERIM_REP ? (KB730395)
https://support.oracle.com/support/?kmContentId=1607626</t>
  </si>
  <si>
    <t>FA Depreciation Projection</t>
  </si>
  <si>
    <t>Depreciation Reserve Summary/Detail Report
Equivalent to Oracle Standard Reports:
Reserve Summary Report
Reserve Detail Report
DB package: XXEN_FA_FAS_XMLP</t>
  </si>
  <si>
    <t>FA Depreciation Reserve</t>
  </si>
  <si>
    <t>Imported Oracle standard journal entry reserve ledger report
Source: Journal Entry Reserve Ledger Report (XML)
Short Name: FAS400_XML
DB package: XXEN_FA_FAS_XMLP</t>
  </si>
  <si>
    <t>FA Journal Entry Reserve Ledger</t>
  </si>
  <si>
    <t>Revaluation Reserve Summary/Detail Report
Equivalent to Oracle Standard Reports:
Revaluation Reserve Summary Report
Revaluation Reserve Detail Report
DB package: XXEN_FA_FAS_XMLP</t>
  </si>
  <si>
    <t>FA Revaluation Reserve</t>
  </si>
  <si>
    <t>Imported Oracle standard tax reserve ledger report
Source: Tax Reserve Ledger Report (XML)
Short Name: FAS480_XML
DB package: FA_FAS480_XMLP_PKG
Custom Package: XXEN_FA_FAS_XMLP</t>
  </si>
  <si>
    <t>FA Tax Reserve Ledger</t>
  </si>
  <si>
    <t>Context XML files retrieved from the database</t>
  </si>
  <si>
    <t>FND Application Context File</t>
  </si>
  <si>
    <t>Shows all applications, their installation status, correponding database schema, application top name and audit status</t>
  </si>
  <si>
    <t>FND Applications</t>
  </si>
  <si>
    <t>FND attachments stored in the fnd_lobs table and their corresponding application entity e.g. sales orders that they are attached to.</t>
  </si>
  <si>
    <t>FND Attached Documents</t>
  </si>
  <si>
    <t>FND attachment functions, their category assignments, forms blocks and block entities</t>
  </si>
  <si>
    <t>FND Attachment Functions</t>
  </si>
  <si>
    <t>FND audit setup validation report including audit groups, audit tables and audited columns, and a check if the corresponding audit tables are created in columns 'Audit Table Name' and 'Audit Column Exists'.
Oracle's standard audit trail works with a concurrent program 'AuditTrail Update Tables', which creates a set of database triggers for updates, inserts and deletes. The triggers write table changes to an audit table with the name: audited_table_A.
The whole audit trail setup process is describe in this blog: https://www.enginatics.com/blog/how-to-track-master-data-changes-using-oracle-ebs-audit-function-and-blitz-report/</t>
  </si>
  <si>
    <t>FND Audit Setup</t>
  </si>
  <si>
    <t>Reports all changes to an audited application table.
The report has one row per audit transaction and audited column showing the old and new audit column value.</t>
  </si>
  <si>
    <t>FND Audit Table Changes by Column</t>
  </si>
  <si>
    <t>Reports all changes to an audited application table.
The report has one row per audit transaction showing the old and new values for all audited columns in a single row.</t>
  </si>
  <si>
    <t>FND Audit Table Changes by Record</t>
  </si>
  <si>
    <t>Concurrent managers' setup and current status, e.g. processes and requests running, pending etc.
Shows the same information as Concurrent-&gt;Manager-&gt;Administer and Concurrent-&gt;Manager-&gt;Define</t>
  </si>
  <si>
    <t>FND Concurrent Managers</t>
  </si>
  <si>
    <t>Concurrent Program Incompatibilities</t>
  </si>
  <si>
    <t>FND Concurrent Program Incompatibilities</t>
  </si>
  <si>
    <t>Concurrent programs, executables and program parameters</t>
  </si>
  <si>
    <t>FND Concurrent Programs and Executables</t>
  </si>
  <si>
    <t>Lists concurrent requests that were held by the conflict resolution manager and shows their conflicting / blocking requests which were running at the time between the requested start date and conflict release date.
This might not work 100% (it doesn't consider request set conflicts yet), but should give a good indication of most conflicting scenarios.</t>
  </si>
  <si>
    <t>FND Concurrent Request Conflicts</t>
  </si>
  <si>
    <t>Running, scheduled and historic concurrent requests including phase, status, parameters, schedule, timing, delivery and output option information.
For performance analysis of running requests, the report contains sid, currently executed sql_id and sql_text and distribution of wait time on different wait classes.
Use parameter 'Scheduled or Running' to get a list of all currently scheduled or running requests.</t>
  </si>
  <si>
    <t>FND Concurrent Requests</t>
  </si>
  <si>
    <t>Concurrent programs sorted by the sum of their historic execution times</t>
  </si>
  <si>
    <t>FND Concurrent Requests Summary</t>
  </si>
  <si>
    <t>FND Data Groups</t>
  </si>
  <si>
    <t>Shows all active descriptive flexfield table columns.</t>
  </si>
  <si>
    <t>FND Descriptive Flexfield Table Columns</t>
  </si>
  <si>
    <t>Descriptive flexfields table, context, column and validation information</t>
  </si>
  <si>
    <t>FND Descriptive Flexfields</t>
  </si>
  <si>
    <t>Document categories used by document sequence assignments.</t>
  </si>
  <si>
    <t>FND Document Categories</t>
  </si>
  <si>
    <t>Document sequence asssignments to application tables, ledgers and categories, including sequence details such as database sequence name and last seqeunce number.</t>
  </si>
  <si>
    <t>FND Document Sequence Assignments</t>
  </si>
  <si>
    <t>Document sequence details including database sequence name and last seqeunce number.</t>
  </si>
  <si>
    <t>FND Document Sequences</t>
  </si>
  <si>
    <t>Generates FNDLOAD download and upload linux commands for automated setup transfer between environments</t>
  </si>
  <si>
    <t>FND FNDLOAD Object Transfer</t>
  </si>
  <si>
    <t>Flex value sets with rollup groups</t>
  </si>
  <si>
    <t>FND Flex Hierarchies (Rollup Groups)</t>
  </si>
  <si>
    <t>Flexfield value hierarchy showing a hierarchical tree of parent and child relations and child ranges.
Parameter 'Parents without Child only' can be used to validate the hierarchy for nodes where the child range does not include a single child value.
The query is based on a treewalk through table fnd_flex_value_norm_hierarchy, which contains one record for every parent node, and a range_attribute column to indicate if the child value low/high range should match either parent nodes or child values.
While table fnd_flex_value_norm_hierarchy contains one record for each hierarchy node, table fnd_flex_value_hierarchies shows a flat representation of all hierarchy nodes and their lowest child ranges (range_attribute=C). For any lowest child range value, it contains one record for every higher hierarchy, that this child range is included in, up to the topmost hierarchy node. It can be used, for example, to validate directly if a child value is included in a specific higher level hierarchy node.
For GL flex value hierarchies, there are additional tables gl_seg_val_norm_hierarchy and gl_seg_val_hierarchies, which store one record for each matching child value for parent nodes, instead of just the range.
These tables are updated automatically after each flex value hierarchy change by concurrent 'General Ledger Accounting Setup Program' (GLSTFL).
gl_seg_val_norm_hierarchy stores one record for every child and their direct parent.
gl_seg_val_hierarchies stores one record for every node in the hierarchy (regardless if child or parent) and all their parent records, regardless on which level. It can be used, for example, to directly find all childs of one parent node.
Table gl_account_hierarchies stores the relation between summary template and detail code combination ids.</t>
  </si>
  <si>
    <t>FND Flex Value Hierarchy</t>
  </si>
  <si>
    <t>Flexfield value security rules, rule elements (included or excluded flexfield value ranges), flexfields where the secured value set is used and responsibilities that the rule is assigned to.</t>
  </si>
  <si>
    <t>FND Flex Value Security Rules</t>
  </si>
  <si>
    <t>Value sets and values including usages, validation type, format type, validation table, columns etc.</t>
  </si>
  <si>
    <t>FND Flex Value Sets, Usages and Values</t>
  </si>
  <si>
    <t>Report for all flex values and the hierarchies they are included in.
Column 'Hierarchy Position' can be used to validate your account hierarchy setup and check which account segment values are not included in any (or a specific) hierarchy yet.
In EBS R12.2., there is new flexfield value security in place, which would require the UMX|FND_FLEX_VSET_ALL_PRIVS_ROLE role to maintain flexfield values.
If you do not have this role but apps DB access, you can add it from the backend:
begin
  wf_local_synch.propagateuserrole(
  p_user_name=&gt;'ANDY.HAACK',
  p_role_name=&gt;'UMX|FND_FLEX_VSET_ALL_PRIVS_ROLE'
  );
  commit;
end;</t>
  </si>
  <si>
    <t>FND Flex Values</t>
  </si>
  <si>
    <t>FND Form Functions</t>
  </si>
  <si>
    <t>Forms personalizations and actions</t>
  </si>
  <si>
    <t>FND Forms Personalizations</t>
  </si>
  <si>
    <t>FND Help Documents and Targets</t>
  </si>
  <si>
    <t>Data from table fnd_histogram_cols, which Oracle uses to identify columns which are expected to have highly skewed data, for example a status column having a large number of closed, but only a small number of open records.
The Gather Schema and Gather Table Statistics concurrent programs use this information to create additional histrogram statistics for these columns.
To add a column to this table, use the following API:
declare
l_table_name varchar2(30):='AP_INVOICES_ALL';
l_column_name varchar2(30):='ORG_ID';
begin
for c in (
  select
  fpi.application_id
  from
  fnd_oracle_userid fou,
  fnd_product_installations fpi
  where
  xxen_util.instring(xxen_api.object_owner_type(l_table_name),'.',1)=fou.oracle_username and
  fou.oracle_id=fpi.oracle_id
  ) loop
    fnd_stats.load_histogram_cols(
    action =&gt;'INSERT',
    appl_id =&gt;c.application_id,
    tabname =&gt;l_table_name,
    colname =&gt;l_column_name,
    commit_flag =&gt;'Y');
  end loop;
end;</t>
  </si>
  <si>
    <t>FND Histogram Columns</t>
  </si>
  <si>
    <t>Key flexfields table, structure, column and validation information</t>
  </si>
  <si>
    <t>FND Key Flexfields</t>
  </si>
  <si>
    <t>FND Languages</t>
  </si>
  <si>
    <t>Generic file manager lob data, such as attachments, help files, imported and exported Blitz Report files etc.</t>
  </si>
  <si>
    <t>FND Lobs</t>
  </si>
  <si>
    <t>FND Log Messages</t>
  </si>
  <si>
    <t>Finds the best matching lookup_type for a given set of lookup_codes in a custom application base table.
Example:
Coding a sql for ap suppliers, the value of column vendor_type_lookup_code should get translated to the user visible meaning instead of the code.
The lookup_type used for translation can be found by this report entering table name AP_SUPPLIERS and column name VENDOR_TYPE_LOOKUP_CODE.
The output contains a column SQL_TEXT which can be used directly in the sql where clause:
=flv.lookup_code(+) and
flv.lookup_type(+)='VENDOR TYPE' and
flv.view_application_id(+)=201 and
flv.language(+)=userenv('lang') and
flv.security_group_id(+)=0 and</t>
  </si>
  <si>
    <t>FND Lookup Search</t>
  </si>
  <si>
    <t>Lookup types and values, for example to find a lookup type for a particular lookup code value or meaning.</t>
  </si>
  <si>
    <t>FND Lookup Values</t>
  </si>
  <si>
    <t>Compares lookup values between the local and a remote database environment</t>
  </si>
  <si>
    <t>FND Lookup Values Comparison between environments</t>
  </si>
  <si>
    <t>FND Menu Entries</t>
  </si>
  <si>
    <t>Lists all Oracle E-Business Suite menus (FND_MENUS) together with the number of responsibilities that reference each menu.
The Responsibility Count column shows the total number of responsibilities pointing at the menu; Active Responsibility Count excludes end-dated responsibilities.
Use the Assigned To Responsibility parameter to find the menu behind a specific responsibility, or Menus With Responsibilities Only to hide unused menus. Results are ordered by responsibility count so the most widely used menus appear first.</t>
  </si>
  <si>
    <t>FND Menus</t>
  </si>
  <si>
    <t>FND Messages</t>
  </si>
  <si>
    <t>FND_NODES stores information about the nodes that are used to
install and run Oracle Application at your site. Each row includes
the name of the node and the platform code. The column name
NODE_NAME is the given name used to refer to the machine or node
at the site. The column PLATFORM_CODE specifies the make of the
machine or node (e.g. DEC VMS, Sequent Ptx, etc.). This
information is used to associate a concurrent manager with a
specific node to support distributed processing.
</t>
  </si>
  <si>
    <t>FND Nodes</t>
  </si>
  <si>
    <t>Profile option values on all setup levels.
Unlike Oracle's SQL script from note 201945.1, this report also shows the user visible profile option value in addition to the internal system profile option value.</t>
  </si>
  <si>
    <t>FND Profile Option Values</t>
  </si>
  <si>
    <t>FND profile option definition</t>
  </si>
  <si>
    <t>FND Profile Options</t>
  </si>
  <si>
    <t>FND request groups and their assigned units, such as concurrent programs, request sets or applications</t>
  </si>
  <si>
    <t>FND Request Groups</t>
  </si>
  <si>
    <t>Active responsibilites with active user count and related setup information such as menus, data access sets, security profiles and associated ledgers and operating units.</t>
  </si>
  <si>
    <t>FND Responsibilities</t>
  </si>
  <si>
    <t>Responsibilites and related data such as users, concurrent programs, menus, functions, forms, data access set and security profiles and associated ledgers and operating units.
This report basically answers all system access related questions. It shows which users or responsibilities have acess to which functions, forms, concurrent programs, ledgers, operating units or inventory organizations.
Depending on parameter selection, this report shows for example:
- responsibilities and related menus and request groups
- responsibilities, menus, included forms, functions and their full menu navigation path
- users and their assigned active responsibilities
- users, assigned responsibilities and the concurrent programs they have access to
- concurrent programs and the responsibilities that they can be run from
- forms or functions and the responsibilities and users that can access them
- responsibilities and navigation paths to access a certain form or function from a given user
- operating units that a particular responsibility or user has access to through MOAC security profiles or profile option 'MO: Operating Unit'
The parameters 'User', 'Form', 'Function' and 'Concurrent Program' are optional and can either be populated to filter records for a particular value only or entered with % to show all values or left blank to not show data related to that parameter. If the user parameter is left blank for example, then the report does not show any user names and shows information related to responsibility level only.
Example: To show all users having access to the user maintenance form, enter parameters as follows:
User Name: %
Form Name: FNDSCAUS
Menu exclusions (fnd_resp_functions) are considered: functions excluded directly (rule_type F) or through an excluded menu (rule_type M) are filtered out.</t>
  </si>
  <si>
    <t>FND Responsibility Access</t>
  </si>
  <si>
    <t>Responsibility menu exclusions</t>
  </si>
  <si>
    <t>FND Responsibility Menu Exclusions</t>
  </si>
  <si>
    <t>User Management (UMX) role hierarchy to manage role-based access control (RBAC).
When run for a specified role, the report shows all hierarchies that contain or lead to inheriting that role.</t>
  </si>
  <si>
    <t>FND Role Hierarchy</t>
  </si>
  <si>
    <t>Report of all User Management (UMX) roles, including number of active users for each role to help managing role-based access control (RBAC)</t>
  </si>
  <si>
    <t>FND Roles</t>
  </si>
  <si>
    <t>Flex value sets with rollup groups (FND Flex Hierarchies)</t>
  </si>
  <si>
    <t>FND Rollup Groups</t>
  </si>
  <si>
    <t>FND SOA Runtime Error</t>
  </si>
  <si>
    <t>Registered FND tables, columns, primary keys and their flexfields</t>
  </si>
  <si>
    <t>FND Tables and Columns</t>
  </si>
  <si>
    <t>Audit history of application user logins.
EBS user logon audit is controlled by profile 'Sign-On:Audit Level'.
The most detailed audit level setting is 'FORM'.
Unfortunately, this audit tracks access to individual forms only, but not to different JSPs (HTML / OAF / ADF Pages).
As a workaround, the report SQL also joins to icx_sessions, which contains a record for each login (in fact, it also stores a record for each access to the login page before login. These records are marked with guest='Y').
The function retrieved from icx_session however, just shows the latest OAF function accessed by the user, not all individual JSP functions accessed within that session.</t>
  </si>
  <si>
    <t>FND User Login History</t>
  </si>
  <si>
    <t>User's HTML favourites from table icx_custom_menu_entries</t>
  </si>
  <si>
    <t>FND User Login Page Favorites</t>
  </si>
  <si>
    <t>Active application user count per month</t>
  </si>
  <si>
    <t>FND User Login Summary</t>
  </si>
  <si>
    <t>User preferences from table fnd_user_preferences</t>
  </si>
  <si>
    <t>FND User Preferences</t>
  </si>
  <si>
    <t>Similar to report FND Responsibility Access, but also shows inactive / end dated user responsibilities while FND Access Control shows currently active assigned responsibilities only.
Same as Oracle's 'Active Users' report.</t>
  </si>
  <si>
    <t>FND User Responsibilities</t>
  </si>
  <si>
    <t>Report for User Management (UMX) roles and their assigned users to manage role-based access control (RBAC).
User uoles are maintained from the User Management responsibility, but you would require the UMX|SECURITY_ADMIN role for this. If you do not have this role but apps DB access, you can add it from the backend:
begin
  wf_local_synch.propagateuserrole(
  p_user_name=&gt;'ANDY.HAACK',
  p_role_name=&gt;'UMX|SECURITY_ADMIN'
  );
  commit;
end;</t>
  </si>
  <si>
    <t>FND User Roles</t>
  </si>
  <si>
    <t>Listing of all EBS users, their status, responsibility count, and if they were using blitz reports</t>
  </si>
  <si>
    <t>FND Users</t>
  </si>
  <si>
    <t>Troubleshooting report for FSG journal drilldown issues. Checks gl_balances, posted/unposted journals, period status, account properties, and flex value security for a given account and period. Use the GL segment parameters to filter to the specific account combination that is not drilling down.</t>
  </si>
  <si>
    <t>FSG Drilldown Diagnostic</t>
  </si>
  <si>
    <t>Detail GL transaction report with one line per transaction including all segments and subledger data, with amounts in both transaction currency and ledger currency.</t>
  </si>
  <si>
    <t>GL Account Analysis</t>
  </si>
  <si>
    <t>Backwards compatible version (for 11g databases) of the detail GL transaction report with one line per transaction including all segments and subledger data, with amounts in both transaction currency and ledger currency.</t>
  </si>
  <si>
    <t>GL Account Analysis 11g</t>
  </si>
  <si>
    <t>Detailed GL transaction report with one line per distribution including all segments and subledger data, with amounts in both transaction currency and ledger currency.
The report includes VAT tax codes and rates for AR and AP transactions.</t>
  </si>
  <si>
    <t>GL Account Distribution Analysis</t>
  </si>
  <si>
    <t>Summary GL report including one line per accounting period for each account segment level, including product code, with amounts for opening balance, debits, credits, change amount, ending balance.</t>
  </si>
  <si>
    <t>GL Balance</t>
  </si>
  <si>
    <t>Shows GL balance details by code combination. Uses gl_balances for standard queries, gl_je_lines when filtering by journal source/category or using JED balance types.</t>
  </si>
  <si>
    <t>GL Balance Drilldown</t>
  </si>
  <si>
    <t>Summary GL report including one line per GL account. This report has multiple collapsible/expandable summary levels based on the GL account hierarchy, with starting balance, total amount per month, ending total and YTD balance.
Parameter 'Additional Segment' can be used to include additional segments e.g. cost center or balancing segment.</t>
  </si>
  <si>
    <t>GL Balance by Account Hierarchy</t>
  </si>
  <si>
    <t>Lists the segment mapping rules and code combination mappings defined for a Global Consolidation System (GCS) chart of accounts mapping. Converted from the Oracle BI Publisher report 'Chart of Accounts - Mapping Rules (XML)' (GLXCOCRR_XML).</t>
  </si>
  <si>
    <t>GL Chart of Accounts Mapping Rules</t>
  </si>
  <si>
    <t>Parameter 'Show Misclassified Accounts' can be used to identify code combinations, which have a different account type than their flexfield value setup.
There is an Oracle note explaining the implications of correcting these:
R12: Troubleshooting Misclassified Accounts in General Ledger (KB706390)
https://support.oracle.com/support/?kmContentId=872162</t>
  </si>
  <si>
    <t>GL Code Combinations</t>
  </si>
  <si>
    <t>Daily currency conversion rates</t>
  </si>
  <si>
    <t>GL Daily Rates</t>
  </si>
  <si>
    <t>Master data report showing ledger security.
Listing of all GL data access sets and the ledgers or ledger sets that each access set can access.</t>
  </si>
  <si>
    <t>GL Data Access Sets</t>
  </si>
  <si>
    <t>Financial Statement Generator reports</t>
  </si>
  <si>
    <t>GL FSG Reports</t>
  </si>
  <si>
    <t>Financial Statement Generator row order listing</t>
  </si>
  <si>
    <t>GL FSG Row Orders</t>
  </si>
  <si>
    <t>Master data report showing ledger, category and source definitions across multiple ledgers.</t>
  </si>
  <si>
    <t>GL Header Categories Summary</t>
  </si>
  <si>
    <t>GL batches and journals report, including amounts and attachments</t>
  </si>
  <si>
    <t>GL Journals</t>
  </si>
  <si>
    <t>GL batches and journals report, including amounts and attachments.This report is used by the GL Financial Statement and Drilldown report, to show subledger details.</t>
  </si>
  <si>
    <t>GL Journals (Drilldown) 11g</t>
  </si>
  <si>
    <t>Master data report showing GL ledger sets and included ledgers.</t>
  </si>
  <si>
    <t>GL Ledger Sets</t>
  </si>
  <si>
    <t>Master data report showing ledger set, ledger name, ledger category, currency, legal entity, and  balancing segment across all ledgers and legal entities.</t>
  </si>
  <si>
    <t>GL Ledgers and Legal Entities</t>
  </si>
  <si>
    <t>Master data report showing business group, ledger set, ledger, ledger category, currency, chart of accounts name, operating unit, organization code, country, legal entity, ledger id, chart of accounts code. It also includes support elements such as chart of accounts ID, operating unit ID, and  organization ID.</t>
  </si>
  <si>
    <t>GL Ledgers and Organizations</t>
  </si>
  <si>
    <t>** This report is used by the GL Financial Statement and Drilldown report, to migrate financial statement reports from Oracle FSG. **
The GL Oracle FSG Converter is used for migration of financial statement reports from Oracle Financial Statement Generator (FSG) into the GL Financial Statement and Drilldown (FSG) report. This converter simplifies the process of transferring the existing Oracle FSG reports, allowing users to leverage advanced reporting and drilldown capabilities with minimal setup.
This version supports DB versions above 12c. To apply the converter, the profile 'Blitz FSG Oracle to Blitz Report Converter' must be updated with the relevant report name based on the db version.
For a quick demonstration of GL Financial Statement and Drilldown (FSG), refer to our YouTube video.
https://youtu.be/dsRWXT2bem8?si=bA8cAxuXjfrMI-SI</t>
  </si>
  <si>
    <t>GL Oracle FSG Converter</t>
  </si>
  <si>
    <t>** This report is used by the GL Financial Statement and Drilldown report, to migrate financial statement reports from Oracle FSG. **
The GL Oracle FSG Converter is used for migration of financial statement reports from Oracle Financial Statement Generator (FSG) into the GL Financial Statement and Drilldown (FSG) report. This converter simplifies the process of transferring the existing Oracle FSG reports, allowing users to leverage advanced reporting and drilldown capabilities with minimal setup.
This version supports DB versions 11g and 12c. To apply the converter, the profile 'Blitz FSG Oracle to Blitz Report Converter' must be updated with the relevant report name based on the db version.
For a quick demonstration of GL Financial Statement and Drilldown (FSG), refer to our YouTube video.
https://youtu.be/dsRWXT2bem8?si=bA8cAxuXjfrMI-SI</t>
  </si>
  <si>
    <t>GL Oracle FSG Converter 11g</t>
  </si>
  <si>
    <t>Accounting period status of all application modules for all or a selected list of ledgers, operating units and inventory organizations. To see if an accounting period should be opened, use the CAC Accounting Period Status report, as it has more reporting options and features.</t>
  </si>
  <si>
    <t>GL Period Status</t>
  </si>
  <si>
    <t>Geleral ledger calendars and accounting periods</t>
  </si>
  <si>
    <t>GL Periods</t>
  </si>
  <si>
    <t>Master data report showing GL summary and concatenation templates based on ledger, company, department, account, sub-account, and product segments, and including information for the group, ledger set, ledger, ledger category, currency and chart of accounts.</t>
  </si>
  <si>
    <t>GL Summary Templates</t>
  </si>
  <si>
    <t>Imported from Concurrent Program
Description: Detail Trial Balance (XML)
Application: General Ledger
Source: Trial Balance - Detail (XML)
Short Name: GLTRBALD
DB package:</t>
  </si>
  <si>
    <t>GL Trial Balance - Detail</t>
  </si>
  <si>
    <t>For developers to understand the GL data: Shows the relationship between effective, accounting and period start and end dates by counting how many records exist where the effective date is before or after the accounting date.</t>
  </si>
  <si>
    <t>GL effective vs accounting vs period start and end date comparison</t>
  </si>
  <si>
    <t>Process Manufacturing Inventory</t>
  </si>
  <si>
    <t>Imported Oracle standard Cycle Count Forms Report of Oracle OPM PI report
Source: Cycle Count Forms (XML)
Short Name: PIR05_XML
DB package: GMI_PIR05_XMLP_PKG</t>
  </si>
  <si>
    <t>GMI Cycle Count Forms</t>
  </si>
  <si>
    <t>Payments</t>
  </si>
  <si>
    <t>Payment manager process request details including statuses, paid or rejected documents, amounts and rejection eror messages</t>
  </si>
  <si>
    <t>IBY Payment Process Request Details</t>
  </si>
  <si>
    <t>Imported from BI Publisher
Description: ABC assignments report
Application: Inventory
Source: ABC assignments report (XML)
Short Name: INVARAAS_XML
DB package: INV_INVARAAS_XMLP_PKG</t>
  </si>
  <si>
    <t>INV ABC assignments</t>
  </si>
  <si>
    <t>The Inventory Aging Report indicates how long an inventory item has been in a FIFO warehouse. You can define bucket days to identify the period from when an item is in the inventory.
NOTES: 
This report will only run for clients running R12.2.8 or later.
This report requires the profile 'INV: FIFO for Original Receipt Date' to be set to Yes in order to return data.
For customers encountering an error running this Blitz report, please first verify the Oracle standard report Inventory Aging Report(XML) can be run in the same instance.
If the standard Oracle report does not complete successfully, or returns no data, then you will need apply a patch in order to use this report.
Please refer to the following My Oracle Support documents for the related patches:
Does the Inventory Aging Report Work for Process Manufacturing (OPM) Organizations? (Doc ID 2914438.1) refers to one off Patch 28858086:R12.INV.C in order to use the Inventory Aging Report.
Inventory Aging Report (XML) Does Not Show Correct Quantity In The Age Buckets For Few Items (Doc ID 2880403.1) refers to Patch 33663520:R12.INV.C for the latest bug fixes for the Inventory Aging Report.
Imported from BI Publisher
Application: Inventory
Source: Inventory Aging Report(XML)
Short Name: INVAGERP_XML
DB package: INV_AGERPXML_PKG</t>
  </si>
  <si>
    <t>INV Aging</t>
  </si>
  <si>
    <t>Imported Oracle standard Cycle count entries and adjustments report
Source: Cycle count entries and adjustments report (XML)
Short Name: INVARCTA_XML
DB package: INV_INVARCTA_XMLP_PKG</t>
  </si>
  <si>
    <t>INV Cycle count entries and adjustments</t>
  </si>
  <si>
    <t>Imported Oracle standard Cycle count hit/miss analysis report
Source: Cycle count hit/miss analysis (XML)
Short Name: INVARHMA_XML
DB package: INV_INVARHMA_XMLP_PKG</t>
  </si>
  <si>
    <t>INV Cycle count hit/miss analysis</t>
  </si>
  <si>
    <t>Imported Oracle standard cycle count listing report
Source: Cycle count listing (XML)
Short Name: INVARCLI_XML
DB package: INV_INVARCLI_XMLP_PKG</t>
  </si>
  <si>
    <t>INV Cycle count listing</t>
  </si>
  <si>
    <t>Imported Oracle standard Cycle count open requests listing report
Source: Cycle count open requests listing (XML)
Short Name: INVARORE_XML
DB package: INV_INVARORE_XMLP_PKG</t>
  </si>
  <si>
    <t>INV Cycle count open requests listing</t>
  </si>
  <si>
    <t>Imported Oracle standard Cycle count schedule requests report
Source: Cycle count schedule requests report (XML)
Short Name: INVARRTA_XML
DB package: INV_INVARRTA_XMLP_PKG</t>
  </si>
  <si>
    <t>INV Cycle count schedule requests</t>
  </si>
  <si>
    <t>Imported Oracle standard Cycle count unscheduled items report
Source: Cycle count unscheduled items report (XML)
Short Name: INVARUIR_XML
DB package: INV_INVARUIR_XMLP_PKG</t>
  </si>
  <si>
    <t>INV Cycle count unscheduled items</t>
  </si>
  <si>
    <t>Imported Oracle standard Cycle counts pending approval report
Source: Cycle counts pending approval report (XML)
Short Name: INVARCPA_XML
DB package: INV_INVARCPA_XMLP_PKG</t>
  </si>
  <si>
    <t>INV Cycle counts pending approval</t>
  </si>
  <si>
    <t>Master data report that lists Inventory functional areas and their default category sets</t>
  </si>
  <si>
    <t>INV Default Category Sets</t>
  </si>
  <si>
    <t>Intercompany invoice reconciliation for inventory transactions, including shipping and receiving organizations, ordered, transacted and invoiced quantities, amounts and possible discrepancies.
It also includes all intercompany Receivables (AR) and Payables (AP) invoice details. Optionally includes the Inventory and Intercompany AP SLA Accounting</t>
  </si>
  <si>
    <t>INV Intercompany Invoice Reconciliation</t>
  </si>
  <si>
    <t>Identifies existing Item Attribute Master/Child attribute value conflicts for Item Attributes controlled at the Master Organization Level.
These errors show as a "Master - Child Conflict in one of these Attributes: ... [MASTER_CHILD_nn]" error during Item Upload
Item Attributes with Master/Child conflicts are identified in the report by having a value in the report displayed as M:[master Org Value] C:[Child Org Value]
Item Attributes with no Master/Child conflicts will have a null value in the report. 
</t>
  </si>
  <si>
    <t>INV Item Attribute Master/Child Conflicts</t>
  </si>
  <si>
    <t>Report showing item catalog group descriptive elements with their values, descriptions, required and default flags</t>
  </si>
  <si>
    <t>INV Item Catalog Descriptive Elements</t>
  </si>
  <si>
    <t>Imported from BI Publisher
Description: Item categories report
Application: Inventory
Source: Item categories report (XML)
Short Name: INVIRCAT_XML
DB package: INV_INVIRCAT_XMLP_PKG</t>
  </si>
  <si>
    <t>INV Item Category Assignment</t>
  </si>
  <si>
    <t>INV Item Category Sets</t>
  </si>
  <si>
    <t>Master data report of Inventory Items and the default locators for shipping, receiving or move order receipt transactions</t>
  </si>
  <si>
    <t>INV Item Default Transaction Locators</t>
  </si>
  <si>
    <t>Master data report of inventory item relationships including the type of relationship between the item and the subinventory.</t>
  </si>
  <si>
    <t>INV Item Default Transaction Subinventories</t>
  </si>
  <si>
    <t>Imported from BI Publisher
Description: Item demand history report
Application: Inventory
Source: Item demand history report (XML)
Short Name: INVPRFDH_XML
DB package: INV_INVPRFDH_XMLP_PKG</t>
  </si>
  <si>
    <t>INV Item Demand History</t>
  </si>
  <si>
    <t>Analytical report by item to predict performance of inventory item load background processes. If the number of items processed per second is decreasing with increasing total items processed, then the interface SQLs are most likely using a wrong nonselective index and should be corrected.</t>
  </si>
  <si>
    <t>INV Item Import Performance</t>
  </si>
  <si>
    <t>Master listing for Inventory item relationships</t>
  </si>
  <si>
    <t>INV Item Relationships</t>
  </si>
  <si>
    <t>Imported from BI Publisher
Description: Item reservations report
Application: Inventory
Source: Item reservations report (XML)
Short Name: INVDRRSV_XML
DB package: INV_INVDRRSV_XMLP_PKG</t>
  </si>
  <si>
    <t>INV Item Reservations</t>
  </si>
  <si>
    <t>Master data report of inventory items with the various status attributes, such as: is BOM allowed, Build in WIP, customer orders enabled, internal orders enabled and Invoice enabled, etc.</t>
  </si>
  <si>
    <t>INV Item Statuses</t>
  </si>
  <si>
    <t>Inventory Item Supply/Demand data as per the standard Inventory Item Supply/Demand form</t>
  </si>
  <si>
    <t>INV Item Supply/Demand</t>
  </si>
  <si>
    <t>Inventory item templates and their item attribute values</t>
  </si>
  <si>
    <t>INV Item Templates</t>
  </si>
  <si>
    <t>Master data report that lists item master attributes such as item type, UOM, status, serial control, account numbers and various other attributes</t>
  </si>
  <si>
    <t>INV Items</t>
  </si>
  <si>
    <t>Imported from BI Publisher
Description: Lot transaction register
Application: Inventory
Source: Lot transaction register (XML)
Short Name: INVTRLNT_XML
DB package: INV_INVTRLNT_XMLP_PKG</t>
  </si>
  <si>
    <t>INV Lot Transaction Register</t>
  </si>
  <si>
    <t>Description: Material account distribution detail
Application: Inventory
Source: Material account distribution detail (XML)
Short Name: INVTRDST_XML</t>
  </si>
  <si>
    <t>INV Material Account Distribution Detail</t>
  </si>
  <si>
    <t>Detailed report of On Hand Quantity with stock movements by Item , Org Code .
Material Movements involve cumulative buckets for stock/in/mvmt and month wise non cumulative buckets for stock out
</t>
  </si>
  <si>
    <t>INV Material Movements</t>
  </si>
  <si>
    <t>Imported from BI Publisher
Description: Material Status Change History Report
Application: Inventory
Source: Material Status Change History Report (XML)
Short Name: INVMSCHR_XML
DB package: INV_INVMSCHR_XMLP_PKG</t>
  </si>
  <si>
    <t>INV Material Status Change History</t>
  </si>
  <si>
    <t>Detail report of Inventory transactions with item, primary qty, secondary qty, transaction type, transaction ID and total transaction qty</t>
  </si>
  <si>
    <t>INV Material Transactions</t>
  </si>
  <si>
    <t>Summary report of Inventory item movement including transaction type, source type, and transaction ID’s.</t>
  </si>
  <si>
    <t>INV Material Transactions Summary</t>
  </si>
  <si>
    <t>Imported from BI Publisher
Description: Movement Statistics Report (INTRASTAT Report)
Application: Inventory
Source: Movement Statistics Report (XML)
Short Name: INVSTMVT_XML
DB package: INV_INVSTMVT_XMLP_PKG
Reports movement statistics for EU Intrastat compliance including arrivals, dispatches, and adjustments with detailed commodity, territory, and trader information.</t>
  </si>
  <si>
    <t>INV Movement Statistics</t>
  </si>
  <si>
    <t>Detail report inventory item quantities by org, sub inventory, location, unit of measure, quantity on hand, quantity reserved, quantity unpacked, lot number, lot expiration, planning information, serial control, availability type, date received, list price, min / max and safety stock.</t>
  </si>
  <si>
    <t>INV Onhand Quantities</t>
  </si>
  <si>
    <t>Inventory organization access for all responsibilities, either through hr security profile or individual org_access assignment.</t>
  </si>
  <si>
    <t>INV Organization Access</t>
  </si>
  <si>
    <t>INV Organization Parameters</t>
  </si>
  <si>
    <t>Summary report to display the pending transaction counts as found in the Inventory Account Periods Close form, checking open receipts, pending shipments, failed inventory, WIP, etc
The Period Count shows the pending transactions occurring within the specified period.
The Period Close Count shows the count of pending transactions as at the scheduled period close date of the specified period. 
The Period Close Count are the counts displayed in the Pending Transactions Inventory Account Periods Close Form.  
This is the accumulated count of pending transactions upto the shceduled close date of the specified period, except for the count of  'Unprocessed Shipping Transactions' which are not carried over to the next period. 
Period count queries are sourced from procedure CST_AccountingPeriod_PUB.Get_PendingTcount (CSTPAPEB.pls 120.18.12020000.8)
</t>
  </si>
  <si>
    <t>INV Period Close Pending Transactions</t>
  </si>
  <si>
    <t>Imported from BI Publisher
Description: Physical inventory adjustments report
Application: Inventory
Source: Physical inventory adjustments report (XML)
Short Name: INVARPAR_XML
DB package: INV_INVARPAR_XMLP_PKG</t>
  </si>
  <si>
    <t>INV Physical Inventory Adjustments</t>
  </si>
  <si>
    <t>Imported from BI Publisher
Description: Physical Inventory Tags
Application: Inventory
Source: Physical Inventory Tags (XML)
Short Name: INVARPTP_XML
DB package: INV_INVARPTP_XMLP_PKG</t>
  </si>
  <si>
    <t>INV Physical Inventory Tags</t>
  </si>
  <si>
    <t>Imported from BI Publisher
Description: Physical inventory accuracy analysis
Application: Inventory
Source: Physical inventory accuracy analysis (XML)
Short Name: INVARPIA_XML
DB package: INV_INVARPIA_XMLP_PKG</t>
  </si>
  <si>
    <t>INV Physical inventory accuracy analysis</t>
  </si>
  <si>
    <t>Imported Oracle standard Print Cycle Count Entries Open Interface data report
Source :Print Cycle Count Entries Open Interface data (XML)
Short Name: INVCCIER_XML
DB package: INV_INVCCIER_XMLP_PKG</t>
  </si>
  <si>
    <t>INV Print Cycle Count Entries Open Interface data</t>
  </si>
  <si>
    <t>Master data report for inventory safety stock with inventory org code, item, effective date, UOM,safety stock quantity, safety stock method, forecast , safety stock percent, service level and creation information.</t>
  </si>
  <si>
    <t>INV Safety Stocks</t>
  </si>
  <si>
    <t>Summary report for Inventory locations, showing locator number, description, type, status, subinventory, picking order, dropping order and unit, volume, weight, dimension and co-ordinate information.</t>
  </si>
  <si>
    <t>INV Stock Locators</t>
  </si>
  <si>
    <t>Profile subinventory report with subinventory name, description, status, default cost group, type, restriction attributes, and general ledger account linkages. For BR100.</t>
  </si>
  <si>
    <t>INV Subinventories</t>
  </si>
  <si>
    <t>Application: Inventory
Description: Transaction Historical Summary Report
This report provides equivalent functionality to the Oracle standard Transaction historical summary (XML) report.
Templates
Quantity/Value Template – for use with the Quantity and Value Selection Option
Balance Template – for use with the Balance Selection Option
The templates provide a summary pivot based on the selected sort option parameter with drill down to the detail data.
Sort Option Category: Pivot by Category, Subinventory/Cost Group
All Others: Pivot by Subinventory/Cost Group, Category
Source: Transaction historical summary (XML)
Short Name: INVTRHAN_XML
DB package: INV_INVTRHAN_XMLP_PKG
</t>
  </si>
  <si>
    <t>INV Transaction Historical Summary</t>
  </si>
  <si>
    <t>Imported from BI Publisher
Description: Transaction register
Application: Inventory
Source: Transaction register (XML)
Short Name: INVTRREG_XML
DB package: INV_INVTRREG_XMLP_PKG</t>
  </si>
  <si>
    <t>INV Transaction Register</t>
  </si>
  <si>
    <t>INV Transaction Source Types</t>
  </si>
  <si>
    <t>INV Transaction Types</t>
  </si>
  <si>
    <t>Imported from BI Publisher
Description: Form 16A report
Application: Asia/Pacific Localizations
Source: India - TDS Certificates (XML)
Short Name: JAINITCR_XML
DB package: JA_JAINITCR_XMLP_PKG</t>
  </si>
  <si>
    <t>JA India - TDS Certificates</t>
  </si>
  <si>
    <t>Imported from BI Publisher
Description: India GSTR-1 Return Report in XML format
Application: Asia/Pacific Localizations
Source: India GSTR-1 Return Report(XML)
Short Name: JAIGSTR1_XML
DB package: JAI_GST_EXTRACT_PKG</t>
  </si>
  <si>
    <t>JA India GSTR-1 Return</t>
  </si>
  <si>
    <t>Imported from BI Publisher
Description: India GSTR-2 Return Report with XML Format
Application: Asia/Pacific Localizations
Source: India GSTR-2 Return Report(XML)
Short Name: JAIGSTR2_XML
DB package: JAI_GSTR2_EXTRACT_PKG</t>
  </si>
  <si>
    <t>JA India GSTR-2 Return</t>
  </si>
  <si>
    <t>Imported from BI Publisher
Description: GSTR-3B Return Report
Application: Asia/Pacific Localizations
Source: India GSTR-3B Return Report
Short Name: JAIGSTR3B
DB package:</t>
  </si>
  <si>
    <t>JA India GSTR-3B Return</t>
  </si>
  <si>
    <t>CRM Foundation</t>
  </si>
  <si>
    <t>JTF grid (CRM spreadtable) datasource and column definition</t>
  </si>
  <si>
    <t>JTF Grid Datasources</t>
  </si>
  <si>
    <t>Detail report for MRP pegging from final assembly to each component, including: planner, end demand pegged qty, demand and plan dates, supply quantity, and supply date.</t>
  </si>
  <si>
    <t>MRP End Assembly Pegging</t>
  </si>
  <si>
    <t>Detail report for MRP Exception messages, including item, make or buy, default buyer, planner and exception message to use.</t>
  </si>
  <si>
    <t>MRP Exceptions</t>
  </si>
  <si>
    <t>Imported from BI Publisher
Description: Financial Analysis Report
Application: Master Scheduling/MRP
Source: Financial Analysis Report (XML)
Short Name: MRPRPPIT_XML
DB package: MRP_MRPRPPIT_XMLP_PKG</t>
  </si>
  <si>
    <t>MRP Financial Analysis</t>
  </si>
  <si>
    <t>MRP: Horizontal Plan from the Planners Workbench.
- The report can be run for multiple organizations and items within a selected plan
- The report can be used to explode BOMS and display the HP for all components 
  within the BOM
- Select a template to choose to either display the HP by individual components, or by 
  End Assemblies, Components.
</t>
  </si>
  <si>
    <t>MRP Horizontal Plan</t>
  </si>
  <si>
    <t>Detail report for item planning forecast, including forecast description, planner, item, bucket type, forecast start and end dates, current quantity, original qty, project related data, and confidence projection.</t>
  </si>
  <si>
    <t>MRP Item Forecast</t>
  </si>
  <si>
    <t>Detail report for MRP planning pegging showing the hierarchy from demand, including forecast, sales orders, work order to supply (WIP jobs, purchase orders and on hand stock)</t>
  </si>
  <si>
    <t>MRP Pegging</t>
  </si>
  <si>
    <t>MRP: Export Supply and Demand Orders from the Planners Workbench.
</t>
  </si>
  <si>
    <t>MRP Plan Orders</t>
  </si>
  <si>
    <t>Sourcing rules for all or a selected assignment set, along with with the item's make / buy flag and based on rollup flag for costing. You can either choose Organization or Vendor (Supplier) sourcing rules or get all sourcing rules by not selecting a sourcing rule type.</t>
  </si>
  <si>
    <t>MRP Sourcing Rules and Bills of Distribution</t>
  </si>
  <si>
    <t>ASCP: Export Planning Exceptions from the Planners Workbench.</t>
  </si>
  <si>
    <t>MSC Exceptions</t>
  </si>
  <si>
    <t>ASCP: Horizontal Plan from the Planners Workbench.
Note: 
The number of Items included in the HP is restricted by the parameter ‘Item Restriction Limit’. This parameter defaults from the profile option ‘MSC: HP Maximum Displayed Item Count’ in the ASCP Planning Instance. The value set in the Item Restriction Limit parameter will override the value specified in profile option.
</t>
  </si>
  <si>
    <t>MSC Horizontal Plan</t>
  </si>
  <si>
    <t>ASCP Pegging Hierarchy. This reports shows the pegging hierarchy from the Top Level Demand.</t>
  </si>
  <si>
    <t>MSC Pegging Hierarchy</t>
  </si>
  <si>
    <t>ASCP: Export Supply and Demand Orders from the Planners Workbench.
</t>
  </si>
  <si>
    <t>MSC Plan Orders</t>
  </si>
  <si>
    <t>ASCP: Vertical Plan from the Planners Workbench.</t>
  </si>
  <si>
    <t>MSC Vertical Plan</t>
  </si>
  <si>
    <t>Contracts Core</t>
  </si>
  <si>
    <t>Summary of okc line style hierarchies, the jtf objects linked to each line level and the active and overall count of contract lines by status for each line type.
This is useful for developers to see how the oracle contracts line data is structured and how the link to external objects, e.g. installed base or counters for service contracts works</t>
  </si>
  <si>
    <t>OKC Contract Lines Summary</t>
  </si>
  <si>
    <t>Lease and Finance Management</t>
  </si>
  <si>
    <t>Information on lease termination quotes</t>
  </si>
  <si>
    <t>OKL Termination Quotes</t>
  </si>
  <si>
    <t>Service Contracts</t>
  </si>
  <si>
    <t>Service Contracts billing history with invoicing and accounting rules, bill action, billed period dates, amounts and counter reading details for usage billing.
When running service contracts billing, there is always a full set of records created in the following billing history tables: 
oks_bill_cont_lines obcl
oks_bill_sub_lines obsl
oks_bill_sub_line_dtls obsld
oks_bill_transactions obt
oks_bill_txn_lines obtl
This set of records is complete down to subline level obsl/obsld, regardless if the billed contract line type has a subline or not.
For subscription lines (lse_id=46, lty_code='SUBSCRIPTION') without a subline, for example, both obcl and obsl point their cle_id to the same line in okc_k_lines_b instead of different line and subline.
Unique identifier for the billing entry is obtl.bill_instance_number, which links to receivables line rctla.interface_line_attribute3.
When driving queries from the OKS side, make sure to include a to_char() conversion for the numeric obtl.bill_instance_number, to enable index use on character type rctla.interface_line_attribute3.
The OKS billing history does not have a link to the originating billing schedule record in oks_level_elements (see https://www.enginatics.com/reports/oks-service-contracts-billing-schedule/)
An overview of oracle service contracts and other line types can be found here: https://www.enginatics.com/reports/okc-contract-lines-summary/
oks_billing_history_v</t>
  </si>
  <si>
    <t>OKS Service Contracts Billing History</t>
  </si>
  <si>
    <t>Service Contracts billing schedule with invoicing and accounting rules, and detailed to be billed period dates and amounts from the stream level elements table oks_level_elements.
Column date_competed is used to identify open or already billed records and date_to_interface is used by the service contracts billing program to identify the records to be billed at any given date.
For advance billing, date_to_interface is set to the beginning of the billing period and for arrears, it is set to the end. When creating new billing schedule record for past periods (that should have been billed already), date_to_interface is set to the current date.
An overview of oracle service contracts and other line types can be found here: https://www.enginatics.com/reports/okc-contract-lines-summary/</t>
  </si>
  <si>
    <t>OKS Service Contracts Billing Schedule</t>
  </si>
  <si>
    <t>Order Management audit history report showing changes to order headers, lines, sales credits, and price adjustments with old/new values, change reasons, and the user who made the change.
Based on Oracle standard report OEXAUDHR_XML (Audit History Report).</t>
  </si>
  <si>
    <t>ONT Audit History</t>
  </si>
  <si>
    <t>Imported from BI Publisher
Description: Cancelled Orders Report
Application: Order Management
Source: Cancelled Orders Report (XML)
Short Name: OEXOEOCS_XML
DB package: ONT_OEXOEOCS_XMLP_PKG</t>
  </si>
  <si>
    <t>ONT Cancelled Orders</t>
  </si>
  <si>
    <t>Shows the complete Order Management defaulting rules setup</t>
  </si>
  <si>
    <t>ONT Defaulting Rules</t>
  </si>
  <si>
    <t>Detail Sales Order report with line item details for all order lines that are on hold and the reason for the hold.</t>
  </si>
  <si>
    <t>ONT Order Holds</t>
  </si>
  <si>
    <t>Detail Sales Order or Quote header report, including status, amount and invoice status information.</t>
  </si>
  <si>
    <t>ONT Orders</t>
  </si>
  <si>
    <t>Detail Sales Order or Quote header report with line item details including status, cost, project and shipping information.</t>
  </si>
  <si>
    <t>ONT Orders and Lines</t>
  </si>
  <si>
    <t>Profile report showing the Sales order recurring billing plan for header and line details including status, frequency, billing period, billing amounts and dates.</t>
  </si>
  <si>
    <t>ONT Recurring Billing Plan</t>
  </si>
  <si>
    <t>ONT System Parameters</t>
  </si>
  <si>
    <t>Imported Oracle standard Order Management transaction types listing, enhanced to show the setup across all operating units
Description: Transaction Types Listing Report
Application: Order Management
Source: Transaction Types Listing Report (XML)
Short Name: OEXORDTP_XML
DB package: ONT_OEXORDTP_XMLP_PKG</t>
  </si>
  <si>
    <t>ONT Transaction Types Listing</t>
  </si>
  <si>
    <t>Master data report showing the setup of order management transaction types and associated line types and workflow processes.</t>
  </si>
  <si>
    <t>ONT Transaction Types and Line WF Processes</t>
  </si>
  <si>
    <t>Oracle Process Manufacturing (OPM) batch details and status summary: one row per production batch showing batch status and type, recipe, primary product and planned/actual output quantity, planned versus actual start and completion dates, and whether the batch completed on time. Set a pending/released status with plan-date filters for a planned-production view.</t>
  </si>
  <si>
    <t>OPM Batch Details and Status Summary</t>
  </si>
  <si>
    <t>OPM Batch Lot Cost Details Report
This report shows the Batch Lot Costs details for completed batches in the specified from/to Date Range and for the specified Organization, Product, Formula Class (optional) and Batch (optional).
For each selected batch included in the report, the report details the lot cost details for that batch and for all child production batches consumed by that batch.
The quantities shown in the child batches are the actual quantities for that batch and it’s ingredients. This report does not apportion the child batch quantities based on the actual quantity consumed by the parent batches. 
The report allows the user to pull in several additional data points to allow further analysis of data based on the customer specific configuration. Specifically, for the both the batch product (same for all lines in the batch) and for the batch ingredients (are specific to each line in the batch), the following additional data can be pulled into the report.
- Item Catalog Descriptive Elements for a specific Item Catalog Group
- Item Category Segments for a specific Item Category Set
- Item Descriptive Flexfield Attributes   
</t>
  </si>
  <si>
    <t>OPM Batch Lot Cost Details</t>
  </si>
  <si>
    <t>OPM Batch Lot Costing Trends Report
This report shows the Batch Lot Costs for the specified Organization and Product over a specified date range.
The report shows the Lot Cost for the batch product and explodes the batch to display all the lowest level ingredient lot costs involved in producing the batch.
Where an ingredient is sourced from another (child) batch, the (child) batch ingredient quantities are apportioned based on the actual usage of the ingredient in the batch consuming that ingredient.   
By default, intermediate ingredients are not displayed in the report, so as not to overstate the ingredient lot costs. To override this default behaviour set the ‘Show Intermediate Ingredients’ report parameter to Yes
The report allows the user to pull in several additional data points to allow further analysis of data based on the customer specific configuration. Specifically, for the both the batch product (same for all lines in the batch) and for the batch ingredients (are specific to each line in the batch), the following additional data can be pulled into the report.
- Item Catalog Descriptive Elements for a specific Item Catalog Group
- Item Category Segments for a specific Item Category Set
- Item Descriptive Flexfield Attributes
</t>
  </si>
  <si>
    <t>OPM Batch Lot Cost Trends</t>
  </si>
  <si>
    <t>Oracle Process Manufacturing (OPM) batch lot genealogy: the parent-to-child lot relationships (which ingredient lots produced which product lots), enriched with each lot's material status, grade, origination and expiration dates. Supports recall, quality and where-used lot traceability.</t>
  </si>
  <si>
    <t>OPM Batch Lot Genealogy</t>
  </si>
  <si>
    <t>Oracle Process Manufacturing (OPM) batch material usage and substitution variance: per-ingredient planned versus actual consumption per production batch, with usage variance, variance percentage, remaining quantity, scrap factor and a substitution indicator. Exposes over/under-consumption and material substitutions at the batch line level.</t>
  </si>
  <si>
    <t>OPM Batch Material Usage and Substitution Variance</t>
  </si>
  <si>
    <t>Oracle Process Manufacturing (OPM) batch steps and resource usage: each production batch routing step with its status, planned versus actual step quantity and dates, and the planned versus actual usage, usage variance, count and UOM of each resource (machine / labor) on the step. Supports batch execution review and resource-efficiency analysis.</t>
  </si>
  <si>
    <t>OPM Batch Steps and Resource Usage</t>
  </si>
  <si>
    <t>Oracle Process Manufacturing (OPM) batch yield variance: compares planned versus actual product and by-product output quantities against total batch input, reporting quantity variance, variance percentage and planned/actual yield percentage - the key production yield KPI for completed batches.</t>
  </si>
  <si>
    <t>OPM Batch Yield Variance</t>
  </si>
  <si>
    <t>OPM Financials Detailed Subledger Report showing transaction headers, extract lines with debit/credit amounts, and GL account distributions. Based on Oracle standard report GMFDSUR (Detailed Subledger Report).</t>
  </si>
  <si>
    <t>OPM Detailed Subledger</t>
  </si>
  <si>
    <t>Oracle Process Manufacturing (OPM) Product Development formula details: the ingredient, product and by-product lines of each formula with quantities, UOM, scrap factor, scaling type, planned product percentage and yield contribution. Supports formulation review and data quality checks.</t>
  </si>
  <si>
    <t>OPM Formula Details</t>
  </si>
  <si>
    <t>Oracle Process Manufacturing (OPM) formula where-used: lists which formulas consume a given ingredient item, with the ingredient quantity and UOM, the using formula and its status, the formula's primary product, and how many recipes use that formula. Supports ingredient impact analysis for substitution, supplier change and allergen / regulatory recall.</t>
  </si>
  <si>
    <t>OPM Formula Where-Used</t>
  </si>
  <si>
    <t>Oracle Process Manufacturing (OPM) Quality item/location test results: the QC test results recorded against inventory item, lot and subinventory samples, with the result value, the applicable specification minimum/target/maximum limits, an in-specification indicator and the sample disposition. The governing specification is resolved from the inventory spec validity rule effective for each sample's item, organization and lot. Answers what the lab results were for a given item or lot and whether they were in specification.</t>
  </si>
  <si>
    <t>OPM Item Location Test Results</t>
  </si>
  <si>
    <t>Oracle Process Manufacturing (OPM) item attributes: for every process-manufacturing-enabled item, its recipe, process-execution, quality and costing enabled flags, grade control and default grade, lot / child-lot control, lot divisibility, and shelf-life control and days. Lets formulation and QA teams see which items are recipe and process enabled.</t>
  </si>
  <si>
    <t>OPM Item Process and Recipe Attributes</t>
  </si>
  <si>
    <t>OPM (Process Manufacturing) recipe details combining recipe status, validity rules, preferences, formula product quantity and routing step / resource quantities. Supports data cleaning before cost roll up. Optionally shows an item category code via the Category Set parameter.</t>
  </si>
  <si>
    <t>OPM Recipe Details</t>
  </si>
  <si>
    <t>OPM Reconciliation Report.
Blitz Report implementation of the Oracle sql script: OPMRecon.sql 
Reference MOS Document: OPM Inventory Balance Reconciliation (Doc ID 1510357.1)</t>
  </si>
  <si>
    <t>OPM Reconcilation</t>
  </si>
  <si>
    <t>Oracle Process Manufacturing (OPM) Quality specifications and test limits: every GMD specification with its version and status, the item and grade it applies to, and each specification test's minimum, target and maximum limits, UOM, certificate-of-analysis print flag and report precision. The master reference for an organization's quality standards.</t>
  </si>
  <si>
    <t>OPM Specifications and Test Limits</t>
  </si>
  <si>
    <t>Detail project report that shows the project asset details, and combined project level costs breakdown, along with the project assets details from the Capital Summary</t>
  </si>
  <si>
    <t>PA Capital Project Summary with Asset Detail</t>
  </si>
  <si>
    <t>Project cost distribution lines transferred to GL showing DR/CR accounts, amounts, transfer status, and GL dates for audit and reconciliation purposes.</t>
  </si>
  <si>
    <t>PA Cost Audit</t>
  </si>
  <si>
    <t>Labor hours summary by employee, project, and task showing total, billable, and non-billable hours with cost amounts for the expenditure organization.</t>
  </si>
  <si>
    <t>PA Employee Activity By Organization</t>
  </si>
  <si>
    <t>Listing of project expenditure types with their category, type class, unit of measure, and active dates.</t>
  </si>
  <si>
    <t>PA Expenditure Types</t>
  </si>
  <si>
    <t>Project draft invoices with line details showing invoice amounts, approval and release status, customer, GL date, and expenditure type breakdown.</t>
  </si>
  <si>
    <t>PA Invoice Review</t>
  </si>
  <si>
    <t>Active employees who have not submitted timecards for a given week ending date, showing employee details, job, organization, and supervisor.</t>
  </si>
  <si>
    <t>PA Missing Timecards</t>
  </si>
  <si>
    <t>Capital project asset information showing CIP costs, capitalized amounts, FA asset numbers, estimated and actual in-service dates, and asset line transfer status.</t>
  </si>
  <si>
    <t>PA Project Asset Details</t>
  </si>
  <si>
    <t>Project billing overview showing revenue, billed and unbilled amounts, funding totals, and available funding for each project.</t>
  </si>
  <si>
    <t>PA Project Billing Status</t>
  </si>
  <si>
    <t>Report of Standard Project Budgets. This report does not include Financial Plan Budgets.
In addition to the budget details, the report will also display the actuals matching the budget line datapoints.
Note: Inclusion of actuals data requires Blitz Report Build Data later than 04-APR-2025 03:21:50
</t>
  </si>
  <si>
    <t>PA Project Budget</t>
  </si>
  <si>
    <t>Project expenditure items showing WIP and inventory transaction details including transaction types, quantities, WIP job, assembly, department, resource, and inventory item information.</t>
  </si>
  <si>
    <t>PA Project Expenditure Items with WIP and INV Detail</t>
  </si>
  <si>
    <t>Project-level financial overview showing actual costs, revenue, labor hours, and commitments for each project with manager and status information.</t>
  </si>
  <si>
    <t>PA Project Status Summary</t>
  </si>
  <si>
    <t>Cost distribution lines summarized by project, task, expenditure type, and GL account showing raw cost, burden cost, and total cost for transferred and accepted lines.</t>
  </si>
  <si>
    <t>PA Project Subledger Detail by Expenditure Type</t>
  </si>
  <si>
    <t>This Blitz Report is the implements the following standard oracle reports.
- MGT: Task - Revenue, Cost, Budgets by Resources
- MGT: Revenue, Cost, Budgets by Resources (Project Level)
The 'Report Level' parameter determines if the report is run at the Project Level or Task Level
Report Level Parameter:
Project - equivalent to running the MGT: Revenue, Cost, Budgets by Resources (Project Level) report
Task - equivalent to running the MGT: Task - Revenue, Cost, Budgets by Resources report
The report has been extended to pull in additional datapoints as displayed in the Project Status Inquiry Form.
Application: Projects
Source: MGT: Task - Revenue, Cost, Budgets by Resources (XML)
Short Name: PAXMGTSD_XML
DB package: PA_PAXMGTSD_XMLP_PKG</t>
  </si>
  <si>
    <t>PA Revenue, Cost, Budgets by Resources</t>
  </si>
  <si>
    <t>This Blitz report implements the standard Oracle report: MGT: Revenue, Cost, Budgets by Work Breakdown Structure (XML)
The 'Report Level' parameter determines if the report is run at the Project Level or Task Level
Report Level Parameter:
Project - will pull back revenue, costs and budgets accumulated at the project level
Task - will pull back revenue, costs and budgets accumulated at the task level
The report has been extended to pull in additional datapoints as displayed in the Project Status Inquiry Form.
Application: Projects
Source: MGT: Revenue, Cost, Budgets by Work Breakdown Structure (XML)
Short Name: PAXBUBSS_XML
DB package: PA_PAXBUBSS_XMLP_PKG</t>
  </si>
  <si>
    <t>PA Revenue, Cost, Budgets by Work Breakdown Structure</t>
  </si>
  <si>
    <t>AP invoices charged to projects showing vendor, invoice, cost distribution, and GL transfer details for supplier expenditure audit.</t>
  </si>
  <si>
    <t>PA Supplier Invoice Audit</t>
  </si>
  <si>
    <t>Summary project report showing operating unit, project, task, scheduled start date, scheduled finish date, created by, and last updated by.</t>
  </si>
  <si>
    <t>PA Task Schedule</t>
  </si>
  <si>
    <t>PA Transaction Sources</t>
  </si>
  <si>
    <t>Payroll</t>
  </si>
  <si>
    <t>Imported from Concurrent Program
Application: Payroll
Source: Costing Detail Report
Short Name: PAYRPCDR</t>
  </si>
  <si>
    <t>PAY Costing Detail</t>
  </si>
  <si>
    <t>Master data report with one line per employee including employee number, name, payroll period and earnings.
</t>
  </si>
  <si>
    <t>PAY Employee Payroll History</t>
  </si>
  <si>
    <t>Payroll gross-to-net summary per employee and pay period, showing gross pay (earnings), pre-tax deductions, involuntary deductions (tax), voluntary deductions, employer charges, and calculated net pay. Based on completed payroll run results. Useful for payroll reconciliation and compensation analysis.</t>
  </si>
  <si>
    <t>PAY Gross to Net Summary</t>
  </si>
  <si>
    <t>Master data report showing HR payroll element details.
Elements are the units used to build all the earnings, deductions and benefits that companies can give to employees.</t>
  </si>
  <si>
    <t>PAY Payroll Element Details</t>
  </si>
  <si>
    <t>Employee absence and attendance records showing absence type, category, dates, duration in days and hours, reason, authorizing person, replacement person, and approval status. Useful for leave management, absence tracking, and compliance reporting.</t>
  </si>
  <si>
    <t>PER Employee Absences</t>
  </si>
  <si>
    <t>Master data report showing the employee demographic information including name, gender SSN, birthdate, age, nationality, effective start date, and additional profile information.</t>
  </si>
  <si>
    <t>PER Employee Assignments</t>
  </si>
  <si>
    <t>Employee contact relationships including dependents, beneficiaries, and emergency contacts. Shows contact person details (name, phone, email, address), relationship type, and flags for dependent, beneficiary, emergency contact, and third party payment. Useful for benefits administration, emergency preparedness, and employee records management.</t>
  </si>
  <si>
    <t>PER Employee Contacts and Dependents</t>
  </si>
  <si>
    <t>List of employees with their grade changes.</t>
  </si>
  <si>
    <t>PER Employee Grade Changes</t>
  </si>
  <si>
    <t>Active employees with calculated length of service in years and months, based on the adjusted service date (or hire date if not set). Shows milestone years (multiples of 5), next service anniversary, age, and current assignment details. Useful for recognition programs, benefits eligibility, and workforce tenure analysis.</t>
  </si>
  <si>
    <t>PER Employee Length of Service</t>
  </si>
  <si>
    <t>Query to get the last Salary change details for employees.
Can add:
whether to look at just the recent salary change?
or salary change history.... If yes, then the last condition in where clause to be dynamically added/removed</t>
  </si>
  <si>
    <t>PER Employee Salary Change</t>
  </si>
  <si>
    <t>Active employee and contingent worker headcount summarized by business group, organization, location, job, grade, and employment category. Includes gender breakdown and average service years and age. Use Excel pivot tables for flexible grouping and analysis.</t>
  </si>
  <si>
    <t>PER Headcount by Organization</t>
  </si>
  <si>
    <t>PER Information Type Security</t>
  </si>
  <si>
    <t>Employees hired within a specified date range, showing hire date, organization, job, position, grade, location, supervisor, employment category, and probation details. Useful for onboarding tracking and new hire analysis.</t>
  </si>
  <si>
    <t>PER New Hires</t>
  </si>
  <si>
    <t>Master data report showing hierarchical list of human resource organization structures including subordinate orgs.</t>
  </si>
  <si>
    <t>PER Organization Hierarchy</t>
  </si>
  <si>
    <t>Master data report showing organizations, classifications, address details and additional information attributes.</t>
  </si>
  <si>
    <t>PER Organizations</t>
  </si>
  <si>
    <t>Position hierarchy showing the reporting structure of positions with hierarchy level, organization, job, grade, location, budgeted vs actual headcount, vacancy count, and current incumbent names. Useful for position control, staffing analysis, and org chart construction.</t>
  </si>
  <si>
    <t>PER Position Hierarchy</t>
  </si>
  <si>
    <t>Security profiles and operating units that they give access to.</t>
  </si>
  <si>
    <t>PER Security Profiles</t>
  </si>
  <si>
    <t>Terminated employees within a specified date range, showing termination date, leaving reason, length of service, last organization, job, position, grade, and supervisor. Useful for turnover analysis and exit tracking.</t>
  </si>
  <si>
    <t>PER Terminations and Separations</t>
  </si>
  <si>
    <t>Application: Property Manager
Report: PN GL Reconciliation
</t>
  </si>
  <si>
    <t>PN GL Reconciliation</t>
  </si>
  <si>
    <t>Application: Property Manager
Source: Generate Lease Analysis Report
Short Name: PNLAR_XML
DB package: XXEN_PN</t>
  </si>
  <si>
    <t>PN Generate Lease Analysis</t>
  </si>
  <si>
    <t>Application: Property Manager
Source: Generate Lease Details Report
Short Name: PNGLDR_XML
DB package: XXEN_PN</t>
  </si>
  <si>
    <t>PN Generate Lease Details</t>
  </si>
  <si>
    <t>Application: Property Manager
Source: Generate Portfolio Detail Report
Short Name: PNGPDR_XML
DB package: XXEN_PN</t>
  </si>
  <si>
    <t>PN Generate Portfolio Detail</t>
  </si>
  <si>
    <t>Application: Property Manager
Source: Generate Portfolio Summary Report
Short Name: PNGPSR_XML
DB package: XXEN_PN</t>
  </si>
  <si>
    <t>PN Generate Portfolio Summary</t>
  </si>
  <si>
    <t>Active PO document approval group assignments with HR jobs or positions</t>
  </si>
  <si>
    <t>PO Approval Assignments</t>
  </si>
  <si>
    <t>PO approval groups and approval rules e.g. amount limits or account ranges</t>
  </si>
  <si>
    <t>PO Approval Groups</t>
  </si>
  <si>
    <t>Approved supplier list and attribute details such as source documents, supplier scheduling, planning constraints and inventory attributes.</t>
  </si>
  <si>
    <t>PO Approved Supplier List</t>
  </si>
  <si>
    <t>Application: Purchasing
Source: Cancelled Purchase Orders Report (XML)
Short Name: POXPOCAN_XML
DB package: PO_POXPOCAN_XMLP_PKG</t>
  </si>
  <si>
    <t>PO Cancelled Purchase Orders</t>
  </si>
  <si>
    <t>Application: Purchasing
Source: Cancelled Requisition Report (XML)
Short Name: POXRQCRQ_XML
DB package: PO_POXRQCRQ_XMLP_PKG</t>
  </si>
  <si>
    <t>PO Cancelled Requisitions</t>
  </si>
  <si>
    <t>PO document types setup</t>
  </si>
  <si>
    <t>PO Document Types</t>
  </si>
  <si>
    <t>PO headers or releases with corresponding invoices and their payment status.
Example: To show all POs or releases which have an invoice but no receiving TRX yet, set following parameters:
Invoice exists=Yes
Receiving TRX exists=No</t>
  </si>
  <si>
    <t>PO Headers</t>
  </si>
  <si>
    <t>PO headers, lines, receiving transactions and corresponding AP invoices</t>
  </si>
  <si>
    <t>PO Headers and Lines</t>
  </si>
  <si>
    <t>Report to display internal sales orders and requisition numbers, with aging dates and other useful information.</t>
  </si>
  <si>
    <t>PO Internal Requisitions and Sales Orders</t>
  </si>
  <si>
    <t>Application: Purchasing
Description: Internal Requisitions/Deliveries Discrepancy Report
Source: Internal Requisitions/Deliveries Discrepancy Report (XML)
Short Name: POXRQSDD_XML</t>
  </si>
  <si>
    <t>PO Internal Requisitions/Deliveries Discrepancy</t>
  </si>
  <si>
    <t>Imported Oracle standard Invoice Price Variance report
Application: Purchasing
Source: Invoice Price Variance Report
Short Name: POXRCIPV</t>
  </si>
  <si>
    <t>PO Invoice Price Variance</t>
  </si>
  <si>
    <t>Migration of the Oracle standard concurrent program Printed Planning Schedule (XML) (CHVPRSCH_XML) from Supplier Scheduling. Shows, for each confirmed planning/shipping schedule, the time-phased demand grid sent to the supplier - one row per schedule, item and time bucket - with forecast, released, total and cumulative (CUM+) quantities per bucket, plus the schedule header, item, CUM and authorization context. The horizontal schedule grid (chv_horizontal_schedules, up to 60 bucket columns) is un-pivoted into rows for analysis in Excel.</t>
  </si>
  <si>
    <t>PO Printed Planning Schedule</t>
  </si>
  <si>
    <t>Imported Oracle standard Purchase Price Variance report
Source: Purchase Price Variance Report (XML)
Short Name: POXRCPPV_XML
DB package: PO_POXRCPPV_XMLP_PKG</t>
  </si>
  <si>
    <t>PO Purchase Price Variance</t>
  </si>
  <si>
    <t>Purchase Requisitions Status with PO Details Report</t>
  </si>
  <si>
    <t>PO Purchase Requisitions with PO Details</t>
  </si>
  <si>
    <t>PO Receipts/Deliveries Discrepancy highlights, at purchase order line and release level, differences between the quantities and amounts received into receiving (transaction type RECEIVE) and delivered to their final destination (DELIVER), including the impact of any CORRECT transactions applied to either side.
Quantity Received and Quantity Delivered show the original transaction quantities, Quantity Corrected Receipt and Quantity Corrected Delivery the net correction impact, and Total Quantity Received and Total Quantity Delivered the corrected totals. Quantity Variance and Cost Variance compare the corrected totals, with amounts valued at the purchase price of each receiving transaction.
Return to Vendor and Return to Receiving quantities (net of their corrections) are shown for reference but are not netted into the variance columns.
Provide a Last Receipt Date range (required): the report shows purchase order lines that had a receipt within that range, and for each it nets ALL of the line's receiving transactions to date, so the variance reflects the current outstanding received-vs-delivered position, not just activity in the window. Narrow the range (and/or add a PO, Supplier or Item filter) to keep large organizations fast.
By default the report shows discrepancy rows only (quantity or cost variance different from zero). Set parameter Discrepancies Only to No to list all purchase order receiving activity for the selected lines.</t>
  </si>
  <si>
    <t>PO Receipts/Deliveries Discrepancy</t>
  </si>
  <si>
    <t>Supplier on-time delivery (OTD) based on the Oracle Supplier Scheduling (CHV) module instead of the purchase order form. For each firm scheduled release the report compares the scheduling-module requested delivery date against the actual goods receipt date and reports the delivery delay, ordered vs received quantity, and a partial-delivery flag. Designed for environments where the blanket PO holds only a skeleton (with placeholder dates) and the real call-off dates arrive via EDI into Supplier Scheduling. First-pass draft - see version comments for open scoping items.</t>
  </si>
  <si>
    <t>PO Supplier Scheduling On-Time Delivery</t>
  </si>
  <si>
    <t>Imported from BI Publisher
Application: Purchasing
Source: Vendor Service Performance Analysis Report (XML)
Short Name: POXSERPR_XML
DB package: PO_POXSERPR_XMLP_PKG</t>
  </si>
  <si>
    <t>PO Vendor Service Performance Analysis</t>
  </si>
  <si>
    <t>PPF_WP3_OM_DETAILS</t>
  </si>
  <si>
    <t>Public Sector Financials</t>
  </si>
  <si>
    <t>Imported from Concurrent Program
Description: Budgetary Control Results Report Program
Application: Public Sector Financials
Source: Budgetary Control Results Report
Short Name: PSABCRRP
DB package: XXEN_PSA
The Expand Amounts Yes/No Parameter determines whether or not the Budget, Encumbrances, Expenditures, and Funds Available Amounts are displayed on the same excel row (Expand=No) or are split into separate excel rows (Expand=Yes) in the generated excel.
The following templates are provided with this report:
Budgetary Control Transactions Pivot
===========================
Corresponds to the standard Oracle Budgetary Control Status Report.
Budget, Encumbrances, Expenditures, and Funds Available Amounts are displayed on separate rows in the generated Excel
Budgetary Control Transactions Extract
============================
Flat File one row per transaction extract.
Budget, Encumbrances, Expenditures, and Funds Available Amounts are included as separate columns on the same excel row
</t>
  </si>
  <si>
    <t>PSA Budgetary Control Transactions</t>
  </si>
  <si>
    <t>QP Customer Pricing Engine Request
==============================
This report requests Item Selling Price information by Customer across Price Lists from the Pricing Engine.
The report also displays the Items Costs for the specified Organization and based on the Unit Selling Price and Item Cost, displays a Margin Analysis.
The report can be run in Summary or Detail Mode.
In Summary Mode, the report will display a summary of Applied Price Lists, List Price, Adjustment Amount, Final Unit Selling Price, Accrual Amount, Charge Amount, Item Cost, and Margin per Customer, requested Price List and Item. Summary Records can be identified in the report with Record Type=Summary
In Detail Mode, in additional to the summary information, the report will include the following record types:
- Detail Record Type which provides a breakdown of the Price List and Modifier Lines the pricing engine has applied in the calculation of the final unit selling price
- Pricing Attribute Record Type provides details of the Pricing Attributes considered by the Pricing Engine in selecting a specified Price List or Modifier
- Qualifier Attribute Record Type provides details of any Qualifier Attributes considered by the Pricing Engine in selecting a specific Price List or Modifier
Detail Record Types follow the Summary Record Type they apply to
Pricing Attribute and Qualifier Attribute Record Types follow the Detail Record Type they apply to.
Additionally, the report supports the following options:
- Use Secondary Price Lists (Yes/No)
  When No, the report will restrict to displaying Prices on the requested Price Lists only
  When Yes, then the report will check for the price on any secondary price lists defined for the requested Price List 
- Expand Price Breaks (Yes/No)
  When No, the report will display the pricing based on the requested Pricing Only
  When Yes, the report will display one line per Price Break to provide an indication of the unit selling price will vary across the Price Breaks and the impact that may have on margins
- Display Promotional Goods (Buy One Get One free type Promotions))
  When No, the report will not display any Promotional Goods the Customer maybe eligible to receive
  When Yes, the report will display any Promotional Goods the Customer maybe eligible to receive
- Display Site Pricing Differences
  When No, the report will only check the Pricing Based on the specified Customer Accounts
  When Yes, the report will also check the Pricing based on the specified Ship To/Bill To Locations. 
  If the pricing at the Customer Site is the same as at the Customer Level, only the Customer Level pricing is displayed in the report.
  If the pricing at the Customer Site differs to the pricing at the Customer Level, then both the Customer Pricing and Site Pricing is included in the report.
  If a Ship To or Bill To location is not specified, and the Display Site Pricing Differences is set to Yes, the report will check all active ship to sites for the Customer within the specified Operating Units.
It is also possible to specify some additional Order Qualifiers to be considered by the Pricing Engine. These are: 
- Organization - this is used as the Shipping Warehouse, It also determines from which Items can be selected and also determines the Organization from which the Item Costs are derived.
- Sales Agreement
- Order Source
- Order Type
Lastly the user can specify
- Pricing Request Date
- Pricing Request Quantity
- Currency Code
Unit Selling Price, Item Costs, and extended amounts are all displayed in the specified currency. The user can only select a currency that is supported by the selected Price Lists.
</t>
  </si>
  <si>
    <t>QP Customer Pricing Engine Request</t>
  </si>
  <si>
    <t>Imported from BI Publisher
Description: Modifier Details Report for QP
Application: Advanced Pricing
Source: Modifier Details (XML)
Short Name: QPXPRMLS_XML
DB package: QP_QPXPRMLS_XMLP_PKG
he Modifier Details (columns) are repeated across all rows pertaining to the Modifier
The List Line Details (columns) are repeated across all rows pertaining to the List Line
For a given modifier the row sequence is:
-  Modifier Level Qualifiers (sorted by qualifier group, qualifier grouping number)
- Modifier List Lines (sorted by list line number)
For each Modifier List the row sequence is:
- List Line record type
- List Line - Qualifiers (sorted by qualifier group, qualifier grouping number)
- List Line - Price Breaks
- List Line - Pricing Attributes 
You can filter on the Record Type column to restrict the data based on what you want to review (e.g just the Modifier Qualifiers, or just the Modifier Lines, or just the Line Level Qualifiers etc).
</t>
  </si>
  <si>
    <t>QP Modifier Details</t>
  </si>
  <si>
    <t>Master data report showing the setup of price lists including item prices, calculation methods, terms and dates.</t>
  </si>
  <si>
    <t>QP Price Lists</t>
  </si>
  <si>
    <t>Report detailing QP Pricing Agreements</t>
  </si>
  <si>
    <t>QP Pricing Agreements</t>
  </si>
  <si>
    <t>Lists the Pricing and Qualifiers Attributes defined for use by Advanced Pricing</t>
  </si>
  <si>
    <t>QP Pricing Attribute Definitions</t>
  </si>
  <si>
    <t>Workflow</t>
  </si>
  <si>
    <t>Summary counts of stuck and errored workflow activities to monitor required housekeeping activities</t>
  </si>
  <si>
    <t>WF Activity Status Summary</t>
  </si>
  <si>
    <t>Workflow business event and subscription details</t>
  </si>
  <si>
    <t>WF Business Events and Subscriptions</t>
  </si>
  <si>
    <t>WF Notifications</t>
  </si>
  <si>
    <t>Detail WIP report that lists resource transaction account distributions.</t>
  </si>
  <si>
    <t>WIP Account Distribution</t>
  </si>
  <si>
    <t>WIP report that lists discrete job Open Requirements and/or Shortages.
Report Modes 
==========
The report can be run in the following modes:
1. Open Requirements - Reports all Open Requirements
2. Shortage based on Net QOH - Reports requirements with shortages against Nettable Quantity Onhand
3. Shortage based on QOH - Reports requirements with shortages against Total Quantity Onhand
4. Shortage based on Supply Sub/Loc - Reports requirements with Shortages against Onhand Quantity in the same supply Subinventory/Locator as specified in the job requirement.
Shortages
=======
The report displays the Total Open Requirements, Onhand Supply, and Shortage by Component.Additionally the report includes the cumulative shortage by date required for each component. 
Display Pegged Supply
=================
If the MRP Plan parameter is specified, the report will show any supply that is pegged to the job components by the MRP Plan.
Report Templates
=============
The following templates are available to restrict the report to showing Total Quantity Onhand, Nettable Quantity Onhand, or Subinventory/Locator matched Quantity Onhand.
1. Nettable QOH - Displays Nettable Onhand Quantities only
2. Nettable QOH with Pegged Supply - Displays Nettable Onhand Quantities only and Pegged Supply 
3. Subinventory/Locator Match QOH - Displays Subinventory/Locator Matched Onhand Quantities only
4. Subinventory/Locator Match QOH with Pegged Supply - Displays Subinventory/Locator Matched Onhand Quantities and any Pegged Supply
5. Total QOH - Displays Total (Nettable and Non-Nettable) Onhand Quantities only 
6. Total QOH with Pegged Supply - Displays Total (Nettable and Non-Nettable) Onhand Quantities only and any Pegged Supply  
</t>
  </si>
  <si>
    <t>WIP Discrete Job Shortage</t>
  </si>
  <si>
    <t>Detail WIP report that lists job, type, status, planner, item, item description, planning method, pegging type, entity, job Description, WIP resource transaction account distributions, project number, task, source code, source line item,Sales Order,Sales Order Line, WIP type, class code, scheduling dates, quantities, department, resource and organization.</t>
  </si>
  <si>
    <t>WIP Entities</t>
  </si>
  <si>
    <t>Overview of WIP entities of different types and their various statuses.</t>
  </si>
  <si>
    <t>WIP Entities Summary</t>
  </si>
  <si>
    <t>Imported from BI Publisher
Description: WIP Outside Processing Report
Application: Work in Process
Source: WIP Outside Processing Report (XML)
Short Name: WIPLBOSP_XML
DB package: WIP_WIPLBOSP_XMLP_PKG</t>
  </si>
  <si>
    <t>WIP Outside Processing</t>
  </si>
  <si>
    <t>Detailed project WIP report that lists discrete jobs and required components. The parameter 'Show Shortage List' can be used to show a shortage list of existing discrete jobs (similar to Oracle's 'Discrete Job Shortage Report'. 
</t>
  </si>
  <si>
    <t>WIP Required Components</t>
  </si>
  <si>
    <t>Application: Work in Process
Description: WIP Value Report
This report will display Period To Date (PTD) and Cumulative To Date (CTD) WIP costs/variances for the selected period. 
The raw data (without template) provides a breakdown of these values by WIP Cost Type, Class, Discrete Job/Repetitive Schedule, Assembly, Element/Variance GL Account, and Period in which the cost is incurred/relieved.
Templates are provided to detail or summarize the costs as followed:
Applicable Templates:
Pivot: WIP Value by Cost Type, Class - WIP Value Summary by Cost Type, Class with Drill Down to WIP Job Details
Pivot: WIP Value by Cost Type, Class, Element/Variance GL Account - WIP Value by Cost Type, Class, Element/Variance GL Account
Pivot: WIP Value by Element/Variance GL Account - WIP Value Account Summary by Element/Variance GL Account with Drill Down to WIP Job Details
Detail: WIP value detail by WIP Job/Repetitive Schedule - Detail: WIP value detail by WIP Job/Repetitive Schedule
Detail: WIP value detail by Element/Variance GL Account - WIP value detail breakdown at the  Element/Variance GL Account level
Provides equivalent functionality to the following standard Oracle Forms/Reports
- WIP Value Report
Source: WIP Value Report (XML)
Short Name: WIPUTVAL_XML
DB package: WIP_WIPUTVAL_XMLP_PKG</t>
  </si>
  <si>
    <t>WIP Value</t>
  </si>
  <si>
    <t>Report to get the WIP and Material  accounting distributions,  by WIP job,period, Org .
It displays detailed information from both sources WIP and Material Transactions
Parameters:
===========
Period:  To pull the transactions based on specific inventory period ( transaction_date).(mandatory)
Source:  enter the source "WIP","Material" or "Both" you wish to report (mandatory).
Category Set 1:  any item category you wish, typically the Cost or Product Line category set (optional).
Category Set 2:  any item category you wish, typically the Inventory category set (optional).
Category Set 3:  any item category you wish, typically the Inventory category set (optional).
Replace Colon with Dot:  This is to give flexibility to replace concatenated segments '-' with '.' . If Yes, it wil always replace (optional).
WIP Job or Flow Schedule:  enter the WIP Job or the Flow Schedule to report (optional).
Organization Code:  enter the inventory organization(s) you wish to report (mandatory).
Operating Unit:  enter the operating unit(s) you wish to report (optional).
Ledger:  enter the ledger(s) you wish to report (optional).
</t>
  </si>
  <si>
    <t>WIP Value Summary</t>
  </si>
  <si>
    <t>Warehouse Management</t>
  </si>
  <si>
    <t>List All the Warehouse Control Board Tasks
------------------------------------------------------------------------
Parameters:
Task Type: Filter by Task Type
User Task Type: Filter by selected user task type based on task.
Task Status : Filter by Task Statuses.
Excluded Task Status: Filter the tasks excluding status like "Completed"
Task Creation Date From and To : Filter based on task creation date
Show WIP Material Movements: In case WIP details to be extracted corresponding to tasks
Show Sales Order Movements: In case Sales Order details to be extracted corresponding to tasks
-------------------------------------------------------------------------------------------------------------------------</t>
  </si>
  <si>
    <t>WMS Control Board Tasks</t>
  </si>
  <si>
    <t>Shipping Execution</t>
  </si>
  <si>
    <t>Shipping commercial invoice report showing delivery details including shipped items, quantities, unit costs, extended costs, ship-from/ship-to addresses, freight information, and bill of lading details.
Blitz version of the Oracle standard Commercial Invoice (XML) concurrent program WSHRDINV_XML.
DB package: WSH_WSHRDINV_XMLP_PKG</t>
  </si>
  <si>
    <t>WSH Commercial Invoice</t>
  </si>
  <si>
    <t>This report provides details of Warehouse Shipping Transactions and Deliveries.
To review details of deliveries only, set the Assigned to Delivery Parameter = 'Yes'
To review details of shipping transaction not yet assigned to a delivery, set the Assigned to Delivery Parameter = 'No'
Set the parameter to null to review all shipping transations regardless of delivery assignment status.
</t>
  </si>
  <si>
    <t>WSH Shipping/Delivery Transactions</t>
  </si>
  <si>
    <t>XML Publisher</t>
  </si>
  <si>
    <t>XML Publisher data definitions or sources, associated concurrent programs, executables and templates.
To include complete template information, enter a template name or wildcard % in the template name parameter field.
This report also includes the source data SQL statement extracted from the publisher data template XML file which is quite useful to quickly access and review the SQL from Oracle standard XML reports and use them as templates for new blitz report creations.
Parameter 'Data Definition Search Text' performs a full text search through the data template file so that you could for example enter a particular table name to list all XML publisher reports and their SQLs selecting from that table.</t>
  </si>
  <si>
    <t>XDO Publisher Data Definitions</t>
  </si>
  <si>
    <t>Subledger Accounting</t>
  </si>
  <si>
    <t>Summary of subledger distribution links for developers to understand which source_ids are populated for which subledger table sources.
The link to subledger tables for different source_distribution_type values is described e.g. MOS Doc IDs for:
AP KB202448 https://support.oracle.com/support/?kmContentId=813968
FA KB721213 https://support.oracle.com/support/?kmContentId=2002464
PA KB160029 https://support.oracle.com/support/?kmContentId=1274575
For GMF, there is
AP and PO Accrual Reconciliation Report Debugging from OPM Financials KB775263 https://support.oracle.com/support/?kmContentId=2114612
and Financials Troubleshooting Guide FAQ6726 https://support.oracle.com/support/?kmContentId=1213193
How the gl_import_references tableis used in 11i vs R12 is described in notes KB626209 and KB625770
https://support.oracle.com/support/?kmContentId=165327
https://support.oracle.com/support/?kmContentId=130542</t>
  </si>
  <si>
    <t>XLA Distribution Links Summary</t>
  </si>
  <si>
    <t>Shows the column link between table xla_transaction_entities and subledger source tables such as and AP invoice_id or AR customer_trx_id, used when writing queries linking GL to subledger such as the GL Account Analysis report www.enginatics.com/reports/gl-account-analysis/</t>
  </si>
  <si>
    <t>XLA Entity ID Mappings</t>
  </si>
  <si>
    <t>Subledger event types and their attributes, for example reporting view</t>
  </si>
  <si>
    <t>XLA Entity Types and Event Class Attributes</t>
  </si>
  <si>
    <t>XLA OPM Event Type Summary</t>
  </si>
  <si>
    <t>Imported from BI Publisher
Description: This report extracts all those events which are either untransferred or are not accounted for.
Application: Subledger Accounting
Source: Subledger Period Close Exceptions Report
Short Name: XLAPEXRPT
DB package: XLA_PERIOD_CLOSE_EXP_PKG</t>
  </si>
  <si>
    <t>XLA Subledger Period Close Exceptions</t>
  </si>
  <si>
    <t>Legal Entity Configurator</t>
  </si>
  <si>
    <t>Master data report showing the legal entity associations to other business entities such as:
- Legal Entities
- Operating Units
- Inventory Organizations
- Inventory Locations
- Bill To Locations
- Ship To Locations
- Balancing Segment Values</t>
  </si>
  <si>
    <t>XLE Establishment and Legal Entity Associations</t>
  </si>
  <si>
    <t>Legal entities, establishments, jurisdictions and registrations</t>
  </si>
  <si>
    <t>XLE Legal Entities</t>
  </si>
  <si>
    <t>E-Business Tax</t>
  </si>
  <si>
    <t>Imported from Concurrent Program
Description: Rx-only: Financial Tax Register
Application: E-Business Tax
Source: RX-only: Financial Tax Register Report
Short Name: RXZXPTEX</t>
  </si>
  <si>
    <t>ZX Financial Tax Register</t>
  </si>
  <si>
    <t>Tax lines summary to understand the different applications, entity codes and events that generate tax lines</t>
  </si>
  <si>
    <t>ZX Lines Summary</t>
  </si>
  <si>
    <t>E-Business Tax party tax profiles and tax registration details</t>
  </si>
  <si>
    <t>ZX Party Tax Profiles</t>
  </si>
  <si>
    <t>E-Business Tax account configuration for all ledgers and operating units, setup on either tax, jurisdiction or rate level</t>
  </si>
  <si>
    <t>ZX Tax Accounts</t>
  </si>
  <si>
    <t>E-Business Tax tax regime and party subscription setup</t>
  </si>
  <si>
    <t>ZX Tax Regimes</t>
  </si>
  <si>
    <t>Imported from Concurrent Program
Description: Sales Tax Report for use in U.S
Application: E-Business Tax
Source: U.S. Sales Tax Report
Short Name: ZXXSTR</t>
  </si>
  <si>
    <t>ZX US Sales Tax</t>
  </si>
  <si>
    <t>FSG</t>
  </si>
  <si>
    <t>The GL Financial Statement and Drilldown (FSG) Report empowers users to generate comprehensive reports on financial balances while providing detailed insights through drilldown capabilities. This tool allows users to link Excel cells directly to Oracle data via built-in functions, ensuring that data can be refreshed as needed to reflect the most up-to-date information.
Key features include:
1. Balance and Detail Reporting: Generate high-level balance reports and drill down into the details, including journal entries and subledger transactions.
2. Oracle Data Integration: Seamlessly link Excel cells to Oracle data, with the ability to refresh the data for real-time updates.
3. Drilldown Functionality: Access detailed information at various levels, including balances, journal entries, and subledger details.
4. Migration Tools: Converters are available to migrate reports from Oracle FSG, GL Wand, and Spreadsheet Server to this solution.
For a quick demonstration, refer to our YouTube video.
https://youtu.be/dsRWXT2bem8
Important: Please do not delete the "Financial Statement Generator" sheet or modify the Advanced Custom Properties in the Excel output, as these are essential for the proper functioning of the report.</t>
  </si>
  <si>
    <t>GL Financial Statement and Drilldown (FSG)</t>
  </si>
  <si>
    <t>Blitz Report™</t>
  </si>
  <si>
    <t>Build Date</t>
  </si>
  <si>
    <t>Database Name</t>
  </si>
  <si>
    <t>EBSDB</t>
  </si>
  <si>
    <t>Run Date</t>
  </si>
  <si>
    <t>Request Id</t>
  </si>
  <si>
    <t>User Name</t>
  </si>
  <si>
    <t>ENGINATICS (Pat Stock)</t>
  </si>
  <si>
    <t>Responsibility</t>
  </si>
  <si>
    <t>System Administrator</t>
  </si>
  <si>
    <t>Template</t>
  </si>
  <si>
    <t>One type per sheet</t>
  </si>
  <si>
    <t>Custom Postprocess</t>
  </si>
  <si>
    <t>publish_example.sh</t>
  </si>
  <si>
    <t>Record Count</t>
  </si>
  <si>
    <t>EBS Version</t>
  </si>
  <si>
    <t>R12</t>
  </si>
  <si>
    <t>FSG;Report;Upload</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</si>
</sst>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d.mm.yy"/>
    <numFmt numFmtId="165" formatCode="dd.mm.yy\ hh:mm:ss"/>
  </numFmts>
  <fonts count="3" x14ac:knownFonts="1">
    <font>
      <sz val="10"/>
      <color theme="1"/>
      <name val="Calibri"/>
      <family val="2"/>
      <scheme val="minor"/>
    </font>
    <font>
      <b/>
      <sz val="10"/>
      <color theme="1"/>
      <name val="Calibri"/>
      <family val="2"/>
      <scheme val="minor"/>
    </font>
    <font>
      <u/>
      <sz val="10"/>
      <color theme="10"/>
      <name val="Calibri"/>
      <family val="2"/>
      <scheme val="minor"/>
    </font>
  </fonts>
  <fills count="3">
    <fill>
      <patternFill patternType="none"/>
    </fill>
    <fill>
      <patternFill patternType="gray125"/>
    </fill>
    <fill>
      <patternFill patternType="solid">
        <fgColor rgb="FFEAEFF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borderId="0" fillId="0" fontId="2" applyProtection="0" applyAlignment="0" applyBorder="0" applyFill="0" applyNumberFormat="0"/>
  </cellStyleXfs>
  <cellXfs count="6">
    <xf numFmtId="0" fontId="0" fillId="0" borderId="0" xfId="0"/>
    <xf numFmtId="0" fontId="1" fillId="2" borderId="0" xfId="0" applyFont="1"/>
    <xf numFmtId="0" fontId="2" fillId="0" borderId="0" xfId="1" applyFont="1"/>
    <xf numFmtId="164" fontId="0" fillId="0" borderId="0" xfId="0" applyNumberFormat="1"/>
    <xf numFmtId="165" fontId="0" fillId="0" borderId="0" xfId="0" applyNumberFormat="1"/>
    <xf numFmtId="0" fontId="0" fillId="0" applyFill="1" applyFont="1" borderId="0" xfId="0"/>
  </cellXfs>
  <cellStyles count="2">
    <cellStyle name="Standard" xfId="0" builtinId="0"/>
    <cellStyle name="Hyperlink" xfId="1" builtinId="8"/>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95"/>
  <sheetViews>
    <sheetView tabSelected="1" workbookViewId="0">
      <pane ySplit="1" topLeftCell="A2" activePane="bottomLeft" state="frozen"/>
      <selection pane="bottomLeft"/>
    </sheetView>
  </sheetViews>
  <sheetFormatPr baseColWidth="10" defaultRowHeight="12.75" x14ac:dyDescent="0.2"/>
  <cols>
    <col min="1" max="1" width="6.838" bestFit="1" customWidth="1"/>
    <col min="2" max="2" width="29.994" bestFit="1" customWidth="1"/>
    <col min="3" max="3" width="57.973" bestFit="1" customWidth="1"/>
    <col min="4" max="4" width="60.7148438" bestFit="1" customWidth="1"/>
    <col min="5" max="5" width="60.7148438" bestFit="1" customWidth="1"/>
    <col min="6" max="6" width="57.973" bestFit="1" customWidth="1"/>
  </cols>
  <sheetData>
    <row r="1" spans="1:6" customFormat="1" x14ac:dyDescent="0.2">
      <c r="A1" s="1" t="s">
        <v>0</v>
      </c>
      <c r="B1" s="1" t="s">
        <v>1</v>
      </c>
      <c r="C1" s="1" t="s">
        <v>2</v>
      </c>
      <c r="D1" s="1" t="s">
        <v>3</v>
      </c>
      <c r="E1" s="1" t="s">
        <v>4</v>
      </c>
      <c r="F1" s="1" t="s">
        <v>5</v>
      </c>
    </row>
    <row r="2" spans="1:6" x14ac:dyDescent="0.2">
      <c r="A2" t="s">
        <v>6</v>
      </c>
      <c r="B2" t="s">
        <v>7</v>
      </c>
      <c r="C2" t="str" s="2">
        <f>HYPERLINK("https://www.enginatics.com/reports/ap-invoice-upload","AP Invoice Upload")</f>
        <v>AP Invoice Upload</v>
      </c>
      <c r="D2" t="str" s="2">
        <f>HYPERLINK("https://www.enginatics.com/example/ap-invoice-upload","AP Invoice Upload - Default 23-Mar-2026 103610 (1).xlsm")</f>
        <v>AP Invoice Upload - Default 23-Mar-2026 103610 (1).xlsm</v>
      </c>
      <c r="E2" t="s">
        <v>8</v>
      </c>
      <c r="F2" t="s">
        <v>8</v>
      </c>
    </row>
    <row r="3" spans="1:6" x14ac:dyDescent="0.2">
      <c r="A3" t="s">
        <v>6</v>
      </c>
      <c r="B3" t="s">
        <v>7</v>
      </c>
      <c r="C3" t="str" s="2">
        <f>HYPERLINK("https://www.enginatics.com/reports/ap-supplier-upload","AP Supplier Upload")</f>
        <v>AP Supplier Upload</v>
      </c>
      <c r="E3" t="s">
        <v>9</v>
      </c>
      <c r="F3" t="s">
        <v>10</v>
      </c>
    </row>
    <row r="4" spans="1:6" x14ac:dyDescent="0.2">
      <c r="A4" t="s">
        <v>6</v>
      </c>
      <c r="B4" t="s">
        <v>11</v>
      </c>
      <c r="C4" t="str" s="2">
        <f>HYPERLINK("https://www.enginatics.com/reports/ar-cash-receipt-upload","AR Cash Receipt Upload")</f>
        <v>AR Cash Receipt Upload</v>
      </c>
      <c r="E4" t="s">
        <v>12</v>
      </c>
      <c r="F4" t="s">
        <v>13</v>
      </c>
    </row>
    <row r="5" spans="1:6" x14ac:dyDescent="0.2">
      <c r="A5" t="s">
        <v>6</v>
      </c>
      <c r="B5" t="s">
        <v>11</v>
      </c>
      <c r="C5" t="str" s="2">
        <f>HYPERLINK("https://www.enginatics.com/reports/ar-customer-upload","AR Customer Upload")</f>
        <v>AR Customer Upload</v>
      </c>
      <c r="E5" t="s">
        <v>14</v>
      </c>
      <c r="F5" t="s">
        <v>15</v>
      </c>
    </row>
    <row r="6" spans="1:6" x14ac:dyDescent="0.2">
      <c r="A6" t="s">
        <v>6</v>
      </c>
      <c r="B6" t="s">
        <v>11</v>
      </c>
      <c r="C6" t="str" s="2">
        <f>HYPERLINK("https://www.enginatics.com/reports/ar-refund-upload","AR Refund Upload")</f>
        <v>AR Refund Upload</v>
      </c>
      <c r="E6" t="s">
        <v>16</v>
      </c>
      <c r="F6" t="s">
        <v>17</v>
      </c>
    </row>
    <row r="7" spans="1:6" x14ac:dyDescent="0.2">
      <c r="A7" t="s">
        <v>6</v>
      </c>
      <c r="B7" t="s">
        <v>11</v>
      </c>
      <c r="C7" t="str" s="2">
        <f>HYPERLINK("https://www.enginatics.com/reports/ar-transaction-upload","AR Transaction Upload")</f>
        <v>AR Transaction Upload</v>
      </c>
      <c r="E7" t="s">
        <v>18</v>
      </c>
      <c r="F7" t="s">
        <v>19</v>
      </c>
    </row>
    <row r="8" spans="1:6" x14ac:dyDescent="0.2">
      <c r="A8" t="s">
        <v>6</v>
      </c>
      <c r="B8" t="s">
        <v>20</v>
      </c>
      <c r="C8" t="str" s="2">
        <f>HYPERLINK("https://www.enginatics.com/reports/bom-bill-of-materials-upload","BOM Bill of Materials Upload")</f>
        <v>BOM Bill of Materials Upload</v>
      </c>
      <c r="E8" t="s">
        <v>21</v>
      </c>
      <c r="F8" t="s">
        <v>22</v>
      </c>
    </row>
    <row r="9" spans="1:6" x14ac:dyDescent="0.2">
      <c r="A9" t="s">
        <v>6</v>
      </c>
      <c r="B9" t="s">
        <v>20</v>
      </c>
      <c r="C9" t="str" s="2">
        <f>HYPERLINK("https://www.enginatics.com/reports/bom-common-bill-of-materials-upload","BOM Common Bill of Materials Upload")</f>
        <v>BOM Common Bill of Materials Upload</v>
      </c>
      <c r="E9" t="s">
        <v>23</v>
      </c>
      <c r="F9" t="s">
        <v>24</v>
      </c>
    </row>
    <row r="10" spans="1:6" x14ac:dyDescent="0.2">
      <c r="A10" t="s">
        <v>6</v>
      </c>
      <c r="B10" t="s">
        <v>20</v>
      </c>
      <c r="C10" t="str" s="2">
        <f>HYPERLINK("https://www.enginatics.com/reports/bom-routing-upload","BOM Routing Upload")</f>
        <v>BOM Routing Upload</v>
      </c>
      <c r="E10" t="s">
        <v>25</v>
      </c>
      <c r="F10" t="s">
        <v>26</v>
      </c>
    </row>
    <row r="11" spans="1:6" x14ac:dyDescent="0.2">
      <c r="A11" t="s">
        <v>6</v>
      </c>
      <c r="B11" t="s">
        <v>27</v>
      </c>
      <c r="C11" t="str" s="2">
        <f>HYPERLINK("https://www.enginatics.com/reports/blitz-report-access-upload","Blitz Report Access Upload")</f>
        <v>Blitz Report Access Upload</v>
      </c>
      <c r="D11" t="str" s="2">
        <f>HYPERLINK("https://www.enginatics.com/example/blitz-report-access-upload","Blitz Report Access Upload 25-Apr-2024 060349.xlsm")</f>
        <v>Blitz Report Access Upload 25-Apr-2024 060349.xlsm</v>
      </c>
      <c r="E11" t="s">
        <v>28</v>
      </c>
      <c r="F11" t="s">
        <v>29</v>
      </c>
    </row>
    <row r="12" spans="1:6" x14ac:dyDescent="0.2">
      <c r="A12" t="s">
        <v>6</v>
      </c>
      <c r="B12" t="s">
        <v>27</v>
      </c>
      <c r="C12" t="str" s="2">
        <f>HYPERLINK("https://www.enginatics.com/reports/blitz-report-assignment-upload","Blitz Report Assignment Upload")</f>
        <v>Blitz Report Assignment Upload</v>
      </c>
      <c r="E12" t="s">
        <v>30</v>
      </c>
      <c r="F12" t="s">
        <v>31</v>
      </c>
    </row>
    <row r="13" spans="1:6" x14ac:dyDescent="0.2">
      <c r="A13" t="s">
        <v>6</v>
      </c>
      <c r="B13" t="s">
        <v>27</v>
      </c>
      <c r="C13" t="str" s="2">
        <f>HYPERLINK("https://www.enginatics.com/reports/blitz-report-category-assignment-upload","Blitz Report Category Assignment Upload")</f>
        <v>Blitz Report Category Assignment Upload</v>
      </c>
      <c r="E13" t="s">
        <v>32</v>
      </c>
      <c r="F13" t="s">
        <v>33</v>
      </c>
    </row>
    <row r="14" spans="1:6" x14ac:dyDescent="0.2">
      <c r="A14" t="s">
        <v>6</v>
      </c>
      <c r="B14" t="s">
        <v>27</v>
      </c>
      <c r="C14" t="str" s="2">
        <f>HYPERLINK("https://www.enginatics.com/reports/blitz-report-custom-reports-converter","Blitz Report Custom Reports Converter")</f>
        <v>Blitz Report Custom Reports Converter</v>
      </c>
      <c r="E14" t="s">
        <v>34</v>
      </c>
      <c r="F14" t="s">
        <v>35</v>
      </c>
    </row>
    <row r="15" spans="1:6" x14ac:dyDescent="0.2">
      <c r="A15" t="s">
        <v>6</v>
      </c>
      <c r="B15" t="s">
        <v>27</v>
      </c>
      <c r="C15" t="str" s="2">
        <f>HYPERLINK("https://www.enginatics.com/reports/blitz-report-template-sharing-upload","Blitz Report Template Sharing Upload")</f>
        <v>Blitz Report Template Sharing Upload</v>
      </c>
      <c r="E15" t="s">
        <v>36</v>
      </c>
      <c r="F15" t="s">
        <v>37</v>
      </c>
    </row>
    <row r="16" spans="1:6" x14ac:dyDescent="0.2">
      <c r="A16" t="s">
        <v>6</v>
      </c>
      <c r="B16" t="s">
        <v>27</v>
      </c>
      <c r="C16" t="str" s="2">
        <f>HYPERLINK("https://www.enginatics.com/reports/blitz-upload-example-api-with-no-parameters","Blitz Upload Example (API with no parameters)")</f>
        <v>Blitz Upload Example (API with no parameters)</v>
      </c>
      <c r="E16" t="s">
        <v>38</v>
      </c>
      <c r="F16" t="s">
        <v>39</v>
      </c>
    </row>
    <row r="17" spans="1:6" x14ac:dyDescent="0.2">
      <c r="A17" t="s">
        <v>6</v>
      </c>
      <c r="B17" t="s">
        <v>27</v>
      </c>
      <c r="C17" t="str" s="2">
        <f>HYPERLINK("https://www.enginatics.com/reports/blitz-upload-example-api-without-parameters","Blitz Upload Example (API without parameters)")</f>
        <v>Blitz Upload Example (API without parameters)</v>
      </c>
      <c r="E17" t="s">
        <v>40</v>
      </c>
      <c r="F17" t="s">
        <v>41</v>
      </c>
    </row>
    <row r="18" spans="1:6" x14ac:dyDescent="0.2">
      <c r="A18" t="s">
        <v>6</v>
      </c>
      <c r="B18" t="s">
        <v>27</v>
      </c>
      <c r="C18" t="str" s="2">
        <f>HYPERLINK("https://www.enginatics.com/reports/blitz-upload-example-api","Blitz Upload Example (API)")</f>
        <v>Blitz Upload Example (API)</v>
      </c>
      <c r="E18" t="s">
        <v>42</v>
      </c>
      <c r="F18" t="s">
        <v>43</v>
      </c>
    </row>
    <row r="19" spans="1:6" x14ac:dyDescent="0.2">
      <c r="A19" t="s">
        <v>6</v>
      </c>
      <c r="B19" t="s">
        <v>27</v>
      </c>
      <c r="C19" t="str" s="2">
        <f>HYPERLINK("https://www.enginatics.com/reports/blitz-upload-example-interface-table","Blitz Upload Example (Interface Table)")</f>
        <v>Blitz Upload Example (Interface Table)</v>
      </c>
      <c r="E19" t="s">
        <v>44</v>
      </c>
      <c r="F19" t="s">
        <v>45</v>
      </c>
    </row>
    <row r="20" spans="1:6" x14ac:dyDescent="0.2">
      <c r="A20" t="s">
        <v>6</v>
      </c>
      <c r="B20" t="s">
        <v>46</v>
      </c>
      <c r="C20" t="str" s="2">
        <f>HYPERLINK("https://www.enginatics.com/reports/ce-bank-statement-upload","CE Bank Statement Upload")</f>
        <v>CE Bank Statement Upload</v>
      </c>
      <c r="E20" t="s">
        <v>47</v>
      </c>
      <c r="F20" t="s">
        <v>48</v>
      </c>
    </row>
    <row r="21" spans="1:6" x14ac:dyDescent="0.2">
      <c r="A21" t="s">
        <v>6</v>
      </c>
      <c r="B21" t="s">
        <v>46</v>
      </c>
      <c r="C21" t="str" s="2">
        <f>HYPERLINK("https://www.enginatics.com/reports/ce-bank-and-branch-upload","CE Bank and Branch Upload")</f>
        <v>CE Bank and Branch Upload</v>
      </c>
      <c r="E21" t="s">
        <v>49</v>
      </c>
      <c r="F21" t="s">
        <v>50</v>
      </c>
    </row>
    <row r="22" spans="1:6" x14ac:dyDescent="0.2">
      <c r="A22" t="s">
        <v>6</v>
      </c>
      <c r="B22" t="s">
        <v>51</v>
      </c>
      <c r="C22" t="str" s="2">
        <f>HYPERLINK("https://www.enginatics.com/reports/cst-item-average-cost-upload","CST Item Average Cost Upload")</f>
        <v>CST Item Average Cost Upload</v>
      </c>
      <c r="E22" t="s">
        <v>52</v>
      </c>
      <c r="F22" t="s">
        <v>53</v>
      </c>
    </row>
    <row r="23" spans="1:6" x14ac:dyDescent="0.2">
      <c r="A23" t="s">
        <v>6</v>
      </c>
      <c r="B23" t="s">
        <v>51</v>
      </c>
      <c r="C23" t="str" s="2">
        <f>HYPERLINK("https://www.enginatics.com/reports/cst-item-standard-cost-upload","CST Item Standard Cost Upload")</f>
        <v>CST Item Standard Cost Upload</v>
      </c>
      <c r="E23" t="s">
        <v>54</v>
      </c>
      <c r="F23" t="s">
        <v>55</v>
      </c>
    </row>
    <row r="24" spans="1:6" x14ac:dyDescent="0.2">
      <c r="A24" t="s">
        <v>6</v>
      </c>
      <c r="B24" t="s">
        <v>56</v>
      </c>
      <c r="C24" t="str" s="2">
        <f>HYPERLINK("https://www.enginatics.com/reports/eam-asset-activity-association-upload","EAM Asset Activity Association Upload")</f>
        <v>EAM Asset Activity Association Upload</v>
      </c>
      <c r="E24" t="s">
        <v>57</v>
      </c>
      <c r="F24" t="s">
        <v>58</v>
      </c>
    </row>
    <row r="25" spans="1:6" x14ac:dyDescent="0.2">
      <c r="A25" t="s">
        <v>6</v>
      </c>
      <c r="B25" t="s">
        <v>56</v>
      </c>
      <c r="C25" t="str" s="2">
        <f>HYPERLINK("https://www.enginatics.com/reports/eam-asset-number-upload","EAM Asset Number Upload")</f>
        <v>EAM Asset Number Upload</v>
      </c>
      <c r="E25" t="s">
        <v>59</v>
      </c>
      <c r="F25" t="s">
        <v>60</v>
      </c>
    </row>
    <row r="26" spans="1:6" x14ac:dyDescent="0.2">
      <c r="A26" t="s">
        <v>6</v>
      </c>
      <c r="B26" t="s">
        <v>56</v>
      </c>
      <c r="C26" t="str" s="2">
        <f>HYPERLINK("https://www.enginatics.com/reports/eam-failure-codes-upload","EAM Failure Codes Upload")</f>
        <v>EAM Failure Codes Upload</v>
      </c>
      <c r="E26" t="s">
        <v>61</v>
      </c>
      <c r="F26" t="s">
        <v>62</v>
      </c>
    </row>
    <row r="27" spans="1:6" x14ac:dyDescent="0.2">
      <c r="A27" t="s">
        <v>6</v>
      </c>
      <c r="B27" t="s">
        <v>56</v>
      </c>
      <c r="C27" t="str" s="2">
        <f>HYPERLINK("https://www.enginatics.com/reports/eam-failure-sets-upload","EAM Failure Sets Upload")</f>
        <v>EAM Failure Sets Upload</v>
      </c>
      <c r="E27" t="s">
        <v>63</v>
      </c>
      <c r="F27" t="s">
        <v>64</v>
      </c>
    </row>
    <row r="28" spans="1:6" x14ac:dyDescent="0.2">
      <c r="A28" t="s">
        <v>6</v>
      </c>
      <c r="B28" t="s">
        <v>56</v>
      </c>
      <c r="C28" t="str" s="2">
        <f>HYPERLINK("https://www.enginatics.com/reports/eam-pm-schedule-upload","EAM PM Schedule Upload")</f>
        <v>EAM PM Schedule Upload</v>
      </c>
      <c r="E28" t="s">
        <v>65</v>
      </c>
      <c r="F28" t="s">
        <v>66</v>
      </c>
    </row>
    <row r="29" spans="1:6" x14ac:dyDescent="0.2">
      <c r="A29" t="s">
        <v>6</v>
      </c>
      <c r="B29" t="s">
        <v>67</v>
      </c>
      <c r="C29" t="str" s="2">
        <f>HYPERLINK("https://www.enginatics.com/reports/fa-asset-upload","FA Asset Upload")</f>
        <v>FA Asset Upload</v>
      </c>
      <c r="E29" t="s">
        <v>68</v>
      </c>
      <c r="F29" t="s">
        <v>69</v>
      </c>
    </row>
    <row r="30" spans="1:6" x14ac:dyDescent="0.2">
      <c r="A30" t="s">
        <v>6</v>
      </c>
      <c r="B30" t="s">
        <v>67</v>
      </c>
      <c r="C30" t="str" s="2">
        <f>HYPERLINK("https://www.enginatics.com/reports/fa-mass-additions-upload","FA Mass Additions Upload")</f>
        <v>FA Mass Additions Upload</v>
      </c>
      <c r="E30" t="s">
        <v>70</v>
      </c>
      <c r="F30" t="s">
        <v>71</v>
      </c>
    </row>
    <row r="31" spans="1:6" x14ac:dyDescent="0.2">
      <c r="A31" t="s">
        <v>6</v>
      </c>
      <c r="B31" t="s">
        <v>72</v>
      </c>
      <c r="C31" t="str" s="2">
        <f>HYPERLINK("https://www.enginatics.com/reports/fnd-flex-value-upload","FND Flex Value Upload")</f>
        <v>FND Flex Value Upload</v>
      </c>
      <c r="E31" t="s">
        <v>73</v>
      </c>
      <c r="F31" t="s">
        <v>74</v>
      </c>
    </row>
    <row r="32" spans="1:6" x14ac:dyDescent="0.2">
      <c r="A32" t="s">
        <v>6</v>
      </c>
      <c r="B32" t="s">
        <v>72</v>
      </c>
      <c r="C32" t="str" s="2">
        <f>HYPERLINK("https://www.enginatics.com/reports/fnd-lookup-upload","FND Lookup Upload")</f>
        <v>FND Lookup Upload</v>
      </c>
      <c r="E32" t="s">
        <v>75</v>
      </c>
      <c r="F32" t="s">
        <v>76</v>
      </c>
    </row>
    <row r="33" spans="1:6" x14ac:dyDescent="0.2">
      <c r="A33" t="s">
        <v>6</v>
      </c>
      <c r="B33" t="s">
        <v>72</v>
      </c>
      <c r="C33" t="str" s="2">
        <f>HYPERLINK("https://www.enginatics.com/reports/fnd-menu-entry-upload","FND Menu Entry Upload")</f>
        <v>FND Menu Entry Upload</v>
      </c>
      <c r="E33" t="s">
        <v>77</v>
      </c>
      <c r="F33" t="s">
        <v>78</v>
      </c>
    </row>
    <row r="34" spans="1:6" x14ac:dyDescent="0.2">
      <c r="A34" t="s">
        <v>6</v>
      </c>
      <c r="B34" t="s">
        <v>72</v>
      </c>
      <c r="C34" t="str" s="2">
        <f>HYPERLINK("https://www.enginatics.com/reports/fnd-responsibility-upload","FND Responsibility Upload")</f>
        <v>FND Responsibility Upload</v>
      </c>
      <c r="E34" t="s">
        <v>79</v>
      </c>
      <c r="F34" t="s">
        <v>80</v>
      </c>
    </row>
    <row r="35" spans="1:6" x14ac:dyDescent="0.2">
      <c r="A35" t="s">
        <v>6</v>
      </c>
      <c r="B35" t="s">
        <v>72</v>
      </c>
      <c r="C35" t="str" s="2">
        <f>HYPERLINK("https://www.enginatics.com/reports/fnd-user-upload","FND User Upload")</f>
        <v>FND User Upload</v>
      </c>
      <c r="E35" t="s">
        <v>81</v>
      </c>
      <c r="F35" t="s">
        <v>82</v>
      </c>
    </row>
    <row r="36" spans="1:6" x14ac:dyDescent="0.2">
      <c r="A36" t="s">
        <v>6</v>
      </c>
      <c r="B36" t="s">
        <v>83</v>
      </c>
      <c r="C36" t="str" s="2">
        <f>HYPERLINK("https://www.enginatics.com/reports/gl-account-upload","GL Account Upload")</f>
        <v>GL Account Upload</v>
      </c>
      <c r="E36" t="s">
        <v>84</v>
      </c>
      <c r="F36" t="s">
        <v>85</v>
      </c>
    </row>
    <row r="37" spans="1:6" x14ac:dyDescent="0.2">
      <c r="A37" t="s">
        <v>6</v>
      </c>
      <c r="B37" t="s">
        <v>83</v>
      </c>
      <c r="C37" t="str" s="2">
        <f>HYPERLINK("https://www.enginatics.com/reports/gl-budget-amounts-upload","GL Budget Amounts Upload")</f>
        <v>GL Budget Amounts Upload</v>
      </c>
      <c r="E37" t="s">
        <v>86</v>
      </c>
      <c r="F37" t="s">
        <v>87</v>
      </c>
    </row>
    <row r="38" spans="1:6" x14ac:dyDescent="0.2">
      <c r="A38" t="s">
        <v>6</v>
      </c>
      <c r="B38" t="s">
        <v>83</v>
      </c>
      <c r="C38" t="str" s="2">
        <f>HYPERLINK("https://www.enginatics.com/reports/gl-daily-rates-upload","GL Daily Rates Upload")</f>
        <v>GL Daily Rates Upload</v>
      </c>
      <c r="E38" t="s">
        <v>88</v>
      </c>
      <c r="F38" t="s">
        <v>89</v>
      </c>
    </row>
    <row r="39" spans="1:6" x14ac:dyDescent="0.2">
      <c r="A39" t="s">
        <v>6</v>
      </c>
      <c r="B39" t="s">
        <v>83</v>
      </c>
      <c r="C39" t="str" s="2">
        <f>HYPERLINK("https://www.enginatics.com/reports/gl-journal-upload","GL Journal Upload")</f>
        <v>GL Journal Upload</v>
      </c>
      <c r="D39" t="str" s="2">
        <f>HYPERLINK("https://www.enginatics.com/example/gl-journal-upload","GL Journal Upload - Functional Actuals (with attachment) 20-Jul-2026 161003.xlsm")</f>
        <v>GL Journal Upload - Functional Actuals (with attachment) 20-Jul-2026 161003.xlsm</v>
      </c>
      <c r="E39" t="s">
        <v>90</v>
      </c>
      <c r="F39" t="s">
        <v>91</v>
      </c>
    </row>
    <row r="40" spans="1:6" x14ac:dyDescent="0.2">
      <c r="A40" t="s">
        <v>6</v>
      </c>
      <c r="B40" t="s">
        <v>83</v>
      </c>
      <c r="C40" t="str" s="2">
        <f>HYPERLINK("https://www.enginatics.com/reports/gl-summary-account-upload","GL Summary Account Upload")</f>
        <v>GL Summary Account Upload</v>
      </c>
      <c r="E40" t="s">
        <v>92</v>
      </c>
      <c r="F40" t="s">
        <v>93</v>
      </c>
    </row>
    <row r="41" spans="1:6" x14ac:dyDescent="0.2">
      <c r="A41" t="s">
        <v>6</v>
      </c>
      <c r="B41" t="s">
        <v>94</v>
      </c>
      <c r="C41" t="str" s="2">
        <f>HYPERLINK("https://www.enginatics.com/reports/iex-collection-note-upload","IEX Collection Note Upload")</f>
        <v>IEX Collection Note Upload</v>
      </c>
      <c r="E41" t="s">
        <v>95</v>
      </c>
      <c r="F41" t="s">
        <v>96</v>
      </c>
    </row>
    <row r="42" spans="1:6" x14ac:dyDescent="0.2">
      <c r="A42" t="s">
        <v>6</v>
      </c>
      <c r="B42" t="s">
        <v>97</v>
      </c>
      <c r="C42" t="str" s="2">
        <f>HYPERLINK("https://www.enginatics.com/reports/igi-dossier-maintenance-upload","IGI Dossier Maintenance Upload")</f>
        <v>IGI Dossier Maintenance Upload</v>
      </c>
      <c r="E42" t="s">
        <v>98</v>
      </c>
      <c r="F42" t="s">
        <v>99</v>
      </c>
    </row>
    <row r="43" spans="1:6" x14ac:dyDescent="0.2">
      <c r="A43" t="s">
        <v>6</v>
      </c>
      <c r="B43" t="s">
        <v>100</v>
      </c>
      <c r="C43" t="str" s="2">
        <f>HYPERLINK("https://www.enginatics.com/reports/inv-item-subinventory-upload","INV Item Subinventory Upload")</f>
        <v>INV Item Subinventory Upload</v>
      </c>
      <c r="E43" t="s">
        <v>101</v>
      </c>
      <c r="F43" t="s">
        <v>102</v>
      </c>
    </row>
    <row r="44" spans="1:6" x14ac:dyDescent="0.2">
      <c r="A44" t="s">
        <v>6</v>
      </c>
      <c r="B44" t="s">
        <v>100</v>
      </c>
      <c r="C44" t="str" s="2">
        <f>HYPERLINK("https://www.enginatics.com/reports/inv-item-transaction-defaults-upload","INV Item Transaction Defaults Upload")</f>
        <v>INV Item Transaction Defaults Upload</v>
      </c>
      <c r="E44" t="s">
        <v>103</v>
      </c>
      <c r="F44" t="s">
        <v>104</v>
      </c>
    </row>
    <row r="45" spans="1:6" x14ac:dyDescent="0.2">
      <c r="A45" t="s">
        <v>6</v>
      </c>
      <c r="B45" t="s">
        <v>100</v>
      </c>
      <c r="C45" t="str" s="2">
        <f>HYPERLINK("https://www.enginatics.com/reports/inv-item-upload","INV Item Upload")</f>
        <v>INV Item Upload</v>
      </c>
      <c r="E45" t="s">
        <v>105</v>
      </c>
      <c r="F45" t="s">
        <v>106</v>
      </c>
    </row>
    <row r="46" spans="1:6" x14ac:dyDescent="0.2">
      <c r="A46" t="s">
        <v>6</v>
      </c>
      <c r="B46" t="s">
        <v>100</v>
      </c>
      <c r="C46" t="str" s="2">
        <f>HYPERLINK("https://www.enginatics.com/reports/inv-item-user-defined-attribute-upload","INV Item User Defined Attribute Upload")</f>
        <v>INV Item User Defined Attribute Upload</v>
      </c>
      <c r="E46" t="s">
        <v>107</v>
      </c>
      <c r="F46" t="s">
        <v>108</v>
      </c>
    </row>
    <row r="47" spans="1:6" x14ac:dyDescent="0.2">
      <c r="A47" t="s">
        <v>6</v>
      </c>
      <c r="B47" t="s">
        <v>100</v>
      </c>
      <c r="C47" t="str" s="2">
        <f>HYPERLINK("https://www.enginatics.com/reports/inv-manufacturer-upload","INV Manufacturer Upload")</f>
        <v>INV Manufacturer Upload</v>
      </c>
      <c r="E47" t="s">
        <v>109</v>
      </c>
      <c r="F47" t="s">
        <v>110</v>
      </c>
    </row>
    <row r="48" spans="1:6" x14ac:dyDescent="0.2">
      <c r="A48" t="s">
        <v>6</v>
      </c>
      <c r="B48" t="s">
        <v>100</v>
      </c>
      <c r="C48" t="str" s="2">
        <f>HYPERLINK("https://www.enginatics.com/reports/inv-physical-inventory-purge-upload","INV Physical Inventory Purge Upload")</f>
        <v>INV Physical Inventory Purge Upload</v>
      </c>
      <c r="E48" t="s">
        <v>111</v>
      </c>
      <c r="F48" t="s">
        <v>112</v>
      </c>
    </row>
    <row r="49" spans="1:6" x14ac:dyDescent="0.2">
      <c r="A49" t="s">
        <v>6</v>
      </c>
      <c r="B49" t="s">
        <v>100</v>
      </c>
      <c r="C49" t="str" s="2">
        <f>HYPERLINK("https://www.enginatics.com/reports/inv-physical-inventory-tag-count-upload","INV Physical Inventory Tag Count Upload")</f>
        <v>INV Physical Inventory Tag Count Upload</v>
      </c>
      <c r="E49" t="s">
        <v>113</v>
      </c>
      <c r="F49" t="s">
        <v>114</v>
      </c>
    </row>
    <row r="50" spans="1:6" x14ac:dyDescent="0.2">
      <c r="A50" t="s">
        <v>6</v>
      </c>
      <c r="B50" t="s">
        <v>100</v>
      </c>
      <c r="C50" t="str" s="2">
        <f>HYPERLINK("https://www.enginatics.com/reports/inv-physical-inventory-upload","INV Physical Inventory Upload")</f>
        <v>INV Physical Inventory Upload</v>
      </c>
      <c r="E50" t="s">
        <v>115</v>
      </c>
      <c r="F50" t="s">
        <v>116</v>
      </c>
    </row>
    <row r="51" spans="1:6" x14ac:dyDescent="0.2">
      <c r="A51" t="s">
        <v>6</v>
      </c>
      <c r="B51" t="s">
        <v>100</v>
      </c>
      <c r="C51" t="str" s="2">
        <f>HYPERLINK("https://www.enginatics.com/reports/inv-safety-stock-upload","INV Safety Stock Upload")</f>
        <v>INV Safety Stock Upload</v>
      </c>
      <c r="E51" t="s">
        <v>117</v>
      </c>
      <c r="F51" t="s">
        <v>118</v>
      </c>
    </row>
    <row r="52" spans="1:6" x14ac:dyDescent="0.2">
      <c r="A52" t="s">
        <v>6</v>
      </c>
      <c r="B52" t="s">
        <v>100</v>
      </c>
      <c r="C52" t="str" s="2">
        <f>HYPERLINK("https://www.enginatics.com/reports/inv-stock-locator-upload","INV Stock Locator Upload")</f>
        <v>INV Stock Locator Upload</v>
      </c>
      <c r="E52" t="s">
        <v>119</v>
      </c>
      <c r="F52" t="s">
        <v>120</v>
      </c>
    </row>
    <row r="53" spans="1:6" x14ac:dyDescent="0.2">
      <c r="A53" t="s">
        <v>6</v>
      </c>
      <c r="B53" t="s">
        <v>100</v>
      </c>
      <c r="C53" t="str" s="2">
        <f>HYPERLINK("https://www.enginatics.com/reports/inv-subinventory-upload","INV Subinventory Upload")</f>
        <v>INV Subinventory Upload</v>
      </c>
      <c r="E53" t="s">
        <v>121</v>
      </c>
      <c r="F53" t="s">
        <v>122</v>
      </c>
    </row>
    <row r="54" spans="1:6" x14ac:dyDescent="0.2">
      <c r="A54" t="s">
        <v>6</v>
      </c>
      <c r="B54" t="s">
        <v>100</v>
      </c>
      <c r="C54" t="str" s="2">
        <f>HYPERLINK("https://www.enginatics.com/reports/inv-transaction-upload","INV Transaction Upload")</f>
        <v>INV Transaction Upload</v>
      </c>
      <c r="E54" t="s">
        <v>123</v>
      </c>
      <c r="F54" t="s">
        <v>124</v>
      </c>
    </row>
    <row r="55" spans="1:6" x14ac:dyDescent="0.2">
      <c r="A55" t="s">
        <v>6</v>
      </c>
      <c r="B55" t="s">
        <v>100</v>
      </c>
      <c r="C55" t="str" s="2">
        <f>HYPERLINK("https://www.enginatics.com/reports/inv-unit-of-measure-conversion-upload","INV Unit Of Measure Conversion Upload")</f>
        <v>INV Unit Of Measure Conversion Upload</v>
      </c>
      <c r="E55" t="s">
        <v>125</v>
      </c>
      <c r="F55" t="s">
        <v>126</v>
      </c>
    </row>
    <row r="56" spans="1:6" x14ac:dyDescent="0.2">
      <c r="A56" t="s">
        <v>6</v>
      </c>
      <c r="B56" t="s">
        <v>100</v>
      </c>
      <c r="C56" t="str" s="2">
        <f>HYPERLINK("https://www.enginatics.com/reports/inv-unit-of-measure-upload","INV Unit Of Measure Upload")</f>
        <v>INV Unit Of Measure Upload</v>
      </c>
      <c r="E56" t="s">
        <v>127</v>
      </c>
      <c r="F56" t="s">
        <v>128</v>
      </c>
    </row>
    <row r="57" spans="1:6" x14ac:dyDescent="0.2">
      <c r="A57" t="s">
        <v>6</v>
      </c>
      <c r="B57" t="s">
        <v>129</v>
      </c>
      <c r="C57" t="str" s="2">
        <f>HYPERLINK("https://www.enginatics.com/reports/ja-india-third-party-registration-upload","JA India Third Party Registration Upload")</f>
        <v>JA India Third Party Registration Upload</v>
      </c>
      <c r="E57" t="s">
        <v>130</v>
      </c>
      <c r="F57" t="s">
        <v>131</v>
      </c>
    </row>
    <row r="58" spans="1:6" x14ac:dyDescent="0.2">
      <c r="A58" t="s">
        <v>6</v>
      </c>
      <c r="B58" t="s">
        <v>132</v>
      </c>
      <c r="C58" t="str" s="2">
        <f>HYPERLINK("https://www.enginatics.com/reports/mrp-item-forecast-upload","MRP Item Forecast Upload")</f>
        <v>MRP Item Forecast Upload</v>
      </c>
      <c r="D58" t="str" s="2">
        <f>HYPERLINK("https://www.enginatics.com/example/mrp-item-forecast-upload","MRP Item Forecast Upload - Default 04-May-2025 154504.xlsm")</f>
        <v>MRP Item Forecast Upload - Default 04-May-2025 154504.xlsm</v>
      </c>
      <c r="E58" t="s">
        <v>133</v>
      </c>
      <c r="F58" t="s">
        <v>134</v>
      </c>
    </row>
    <row r="59" spans="1:6" x14ac:dyDescent="0.2">
      <c r="A59" t="s">
        <v>6</v>
      </c>
      <c r="B59" t="s">
        <v>132</v>
      </c>
      <c r="C59" t="str" s="2">
        <f>HYPERLINK("https://www.enginatics.com/reports/mrp-master-schedule-upload","MRP Master Schedule Upload")</f>
        <v>MRP Master Schedule Upload</v>
      </c>
      <c r="E59" t="s">
        <v>135</v>
      </c>
      <c r="F59" t="s">
        <v>136</v>
      </c>
    </row>
    <row r="60" spans="1:6" x14ac:dyDescent="0.2">
      <c r="A60" t="s">
        <v>6</v>
      </c>
      <c r="B60" t="s">
        <v>132</v>
      </c>
      <c r="C60" t="str" s="2">
        <f>HYPERLINK("https://www.enginatics.com/reports/mrp-sourcing-rule-assignment-upload","MRP Sourcing Rule Assignment Upload")</f>
        <v>MRP Sourcing Rule Assignment Upload</v>
      </c>
      <c r="E60" t="s">
        <v>137</v>
      </c>
      <c r="F60" t="s">
        <v>138</v>
      </c>
    </row>
    <row r="61" spans="1:6" x14ac:dyDescent="0.2">
      <c r="A61" t="s">
        <v>6</v>
      </c>
      <c r="B61" t="s">
        <v>132</v>
      </c>
      <c r="C61" t="str" s="2">
        <f>HYPERLINK("https://www.enginatics.com/reports/mrp-sourcing-rule-upload","MRP Sourcing Rule Upload")</f>
        <v>MRP Sourcing Rule Upload</v>
      </c>
      <c r="E61" t="s">
        <v>139</v>
      </c>
      <c r="F61" t="s">
        <v>140</v>
      </c>
    </row>
    <row r="62" spans="1:6" x14ac:dyDescent="0.2">
      <c r="A62" t="s">
        <v>6</v>
      </c>
      <c r="B62" t="s">
        <v>141</v>
      </c>
      <c r="C62" t="str" s="2">
        <f>HYPERLINK("https://www.enginatics.com/reports/msc-plan-order-upload","MSC Plan Order Upload")</f>
        <v>MSC Plan Order Upload</v>
      </c>
      <c r="E62" t="s">
        <v>142</v>
      </c>
      <c r="F62" t="s">
        <v>143</v>
      </c>
    </row>
    <row r="63" spans="1:6" x14ac:dyDescent="0.2">
      <c r="A63" t="s">
        <v>6</v>
      </c>
      <c r="B63" t="s">
        <v>141</v>
      </c>
      <c r="C63" t="str" s="2">
        <f>HYPERLINK("https://www.enginatics.com/reports/msc-sourcing-rule-assignment-upload","MSC Sourcing Rule Assignment Upload")</f>
        <v>MSC Sourcing Rule Assignment Upload</v>
      </c>
      <c r="E63" t="s">
        <v>144</v>
      </c>
      <c r="F63" t="s">
        <v>145</v>
      </c>
    </row>
    <row r="64" spans="1:6" x14ac:dyDescent="0.2">
      <c r="A64" t="s">
        <v>6</v>
      </c>
      <c r="B64" t="s">
        <v>146</v>
      </c>
      <c r="C64" t="str" s="2">
        <f>HYPERLINK("https://www.enginatics.com/reports/ont-order-upload","ONT Order Upload")</f>
        <v>ONT Order Upload</v>
      </c>
      <c r="E64" t="s">
        <v>147</v>
      </c>
      <c r="F64" t="s">
        <v>148</v>
      </c>
    </row>
    <row r="65" spans="1:6" x14ac:dyDescent="0.2">
      <c r="A65" t="s">
        <v>6</v>
      </c>
      <c r="B65" t="s">
        <v>146</v>
      </c>
      <c r="C65" t="str" s="2">
        <f>HYPERLINK("https://www.enginatics.com/reports/ont-sales-quote-close-upload","ONT Sales Quote Close Upload")</f>
        <v>ONT Sales Quote Close Upload</v>
      </c>
      <c r="E65" t="s">
        <v>149</v>
      </c>
      <c r="F65" t="s">
        <v>150</v>
      </c>
    </row>
    <row r="66" spans="1:6" x14ac:dyDescent="0.2">
      <c r="A66" t="s">
        <v>6</v>
      </c>
      <c r="B66" t="s">
        <v>151</v>
      </c>
      <c r="C66" t="str" s="2">
        <f>HYPERLINK("https://www.enginatics.com/reports/opm-formula-upload","OPM Formula Upload")</f>
        <v>OPM Formula Upload</v>
      </c>
      <c r="E66" t="s">
        <v>152</v>
      </c>
      <c r="F66" t="s">
        <v>153</v>
      </c>
    </row>
    <row r="67" spans="1:6" x14ac:dyDescent="0.2">
      <c r="A67" t="s">
        <v>6</v>
      </c>
      <c r="B67" t="s">
        <v>151</v>
      </c>
      <c r="C67" t="str" s="2">
        <f>HYPERLINK("https://www.enginatics.com/reports/opm-recipe-upload","OPM Recipe Upload")</f>
        <v>OPM Recipe Upload</v>
      </c>
      <c r="F67" t="s">
        <v>154</v>
      </c>
    </row>
    <row r="68" spans="1:6" x14ac:dyDescent="0.2">
      <c r="A68" t="s">
        <v>6</v>
      </c>
      <c r="B68" t="s">
        <v>151</v>
      </c>
      <c r="C68" t="str" s="2">
        <f>HYPERLINK("https://www.enginatics.com/reports/opm-routing-upload","OPM Routing Upload")</f>
        <v>OPM Routing Upload</v>
      </c>
      <c r="E68" t="s">
        <v>155</v>
      </c>
      <c r="F68" t="s">
        <v>156</v>
      </c>
    </row>
    <row r="69" spans="1:6" x14ac:dyDescent="0.2">
      <c r="A69" t="s">
        <v>6</v>
      </c>
      <c r="B69" t="s">
        <v>157</v>
      </c>
      <c r="C69" t="str" s="2">
        <f>HYPERLINK("https://www.enginatics.com/reports/otl-timecard-upload","OTL Timecard Upload")</f>
        <v>OTL Timecard Upload</v>
      </c>
      <c r="E69" t="s">
        <v>158</v>
      </c>
      <c r="F69" t="s">
        <v>159</v>
      </c>
    </row>
    <row r="70" spans="1:6" x14ac:dyDescent="0.2">
      <c r="A70" t="s">
        <v>6</v>
      </c>
      <c r="B70" t="s">
        <v>160</v>
      </c>
      <c r="C70" t="str" s="2">
        <f>HYPERLINK("https://www.enginatics.com/reports/pa-budget-upload","PA Budget Upload")</f>
        <v>PA Budget Upload</v>
      </c>
      <c r="E70" t="s">
        <v>161</v>
      </c>
      <c r="F70" t="s">
        <v>162</v>
      </c>
    </row>
    <row r="71" spans="1:6" x14ac:dyDescent="0.2">
      <c r="A71" t="s">
        <v>6</v>
      </c>
      <c r="B71" t="s">
        <v>160</v>
      </c>
      <c r="C71" t="str" s="2">
        <f>HYPERLINK("https://www.enginatics.com/reports/pa-event-upload","PA Event Upload")</f>
        <v>PA Event Upload</v>
      </c>
      <c r="E71" t="s">
        <v>163</v>
      </c>
      <c r="F71" t="s">
        <v>164</v>
      </c>
    </row>
    <row r="72" spans="1:6" x14ac:dyDescent="0.2">
      <c r="A72" t="s">
        <v>6</v>
      </c>
      <c r="B72" t="s">
        <v>160</v>
      </c>
      <c r="C72" t="str" s="2">
        <f>HYPERLINK("https://www.enginatics.com/reports/pa-project-asset-upload","PA Project Asset Upload")</f>
        <v>PA Project Asset Upload</v>
      </c>
      <c r="E72" t="s">
        <v>165</v>
      </c>
      <c r="F72" t="s">
        <v>166</v>
      </c>
    </row>
    <row r="73" spans="1:6" x14ac:dyDescent="0.2">
      <c r="A73" t="s">
        <v>6</v>
      </c>
      <c r="B73" t="s">
        <v>160</v>
      </c>
      <c r="C73" t="str" s="2">
        <f>HYPERLINK("https://www.enginatics.com/reports/pa-project-upload","PA Project Upload")</f>
        <v>PA Project Upload</v>
      </c>
      <c r="E73" t="s">
        <v>167</v>
      </c>
      <c r="F73" t="s">
        <v>168</v>
      </c>
    </row>
    <row r="74" spans="1:6" x14ac:dyDescent="0.2">
      <c r="A74" t="s">
        <v>6</v>
      </c>
      <c r="B74" t="s">
        <v>160</v>
      </c>
      <c r="C74" t="str" s="2">
        <f>HYPERLINK("https://www.enginatics.com/reports/pa-task-upload","PA Task Upload")</f>
        <v>PA Task Upload</v>
      </c>
      <c r="E74" t="s">
        <v>169</v>
      </c>
      <c r="F74" t="s">
        <v>170</v>
      </c>
    </row>
    <row r="75" spans="1:6" x14ac:dyDescent="0.2">
      <c r="A75" t="s">
        <v>6</v>
      </c>
      <c r="B75" t="s">
        <v>160</v>
      </c>
      <c r="C75" t="str" s="2">
        <f>HYPERLINK("https://www.enginatics.com/reports/pa-transaction-upload","PA Transaction Upload")</f>
        <v>PA Transaction Upload</v>
      </c>
      <c r="E75" t="s">
        <v>171</v>
      </c>
      <c r="F75" t="s">
        <v>172</v>
      </c>
    </row>
    <row r="76" spans="1:6" x14ac:dyDescent="0.2">
      <c r="A76" t="s">
        <v>6</v>
      </c>
      <c r="B76" t="s">
        <v>173</v>
      </c>
      <c r="C76" t="str" s="2">
        <f>HYPERLINK("https://www.enginatics.com/reports/per-location-upload","PER Location Upload")</f>
        <v>PER Location Upload</v>
      </c>
      <c r="E76" t="s">
        <v>174</v>
      </c>
      <c r="F76" t="s">
        <v>175</v>
      </c>
    </row>
    <row r="77" spans="1:6" x14ac:dyDescent="0.2">
      <c r="A77" t="s">
        <v>6</v>
      </c>
      <c r="B77" t="s">
        <v>173</v>
      </c>
      <c r="C77" t="str" s="2">
        <f>HYPERLINK("https://www.enginatics.com/reports/per-organization-upload","PER Organization Upload")</f>
        <v>PER Organization Upload</v>
      </c>
      <c r="E77" t="s">
        <v>176</v>
      </c>
      <c r="F77" t="s">
        <v>177</v>
      </c>
    </row>
    <row r="78" spans="1:6" x14ac:dyDescent="0.2">
      <c r="A78" t="s">
        <v>6</v>
      </c>
      <c r="B78" t="s">
        <v>173</v>
      </c>
      <c r="C78" t="str" s="2">
        <f>HYPERLINK("https://www.enginatics.com/reports/per-payroll-element-entry-upload","PER Payroll Element Entry Upload")</f>
        <v>PER Payroll Element Entry Upload</v>
      </c>
      <c r="E78" t="s">
        <v>178</v>
      </c>
      <c r="F78" t="s">
        <v>179</v>
      </c>
    </row>
    <row r="79" spans="1:6" x14ac:dyDescent="0.2">
      <c r="A79" t="s">
        <v>6</v>
      </c>
      <c r="B79" t="s">
        <v>173</v>
      </c>
      <c r="C79" t="str" s="2">
        <f>HYPERLINK("https://www.enginatics.com/reports/per-person-extra-information-upload","PER Person Extra Information Upload")</f>
        <v>PER Person Extra Information Upload</v>
      </c>
      <c r="E79" t="s">
        <v>180</v>
      </c>
      <c r="F79" t="s">
        <v>181</v>
      </c>
    </row>
    <row r="80" spans="1:6" x14ac:dyDescent="0.2">
      <c r="A80" t="s">
        <v>6</v>
      </c>
      <c r="B80" t="s">
        <v>182</v>
      </c>
      <c r="C80" t="str" s="2">
        <f>HYPERLINK("https://www.enginatics.com/reports/pn-billing-payment-term-upload","PN Billing/Payment Term Upload")</f>
        <v>PN Billing/Payment Term Upload</v>
      </c>
      <c r="E80" t="s">
        <v>183</v>
      </c>
      <c r="F80" t="s">
        <v>184</v>
      </c>
    </row>
    <row r="81" spans="1:6" x14ac:dyDescent="0.2">
      <c r="A81" t="s">
        <v>6</v>
      </c>
      <c r="B81" t="s">
        <v>182</v>
      </c>
      <c r="C81" t="str" s="2">
        <f>HYPERLINK("https://www.enginatics.com/reports/pn-schedule-approval-status-upload","PN Schedule Approval Status Upload")</f>
        <v>PN Schedule Approval Status Upload</v>
      </c>
      <c r="D81" t="str" s="2">
        <f>HYPERLINK("https://www.enginatics.com/example/pn-schedule-approval-status-upload","PN Schedule Approval Status Upload 11-Apr-2025 000344.xlsm")</f>
        <v>PN Schedule Approval Status Upload 11-Apr-2025 000344.xlsm</v>
      </c>
      <c r="E81" t="s">
        <v>185</v>
      </c>
      <c r="F81" t="s">
        <v>186</v>
      </c>
    </row>
    <row r="82" spans="1:6" x14ac:dyDescent="0.2">
      <c r="A82" t="s">
        <v>6</v>
      </c>
      <c r="B82" t="s">
        <v>187</v>
      </c>
      <c r="C82" t="str" s="2">
        <f>HYPERLINK("https://www.enginatics.com/reports/po-acceptance-upload","PO Acceptance Upload")</f>
        <v>PO Acceptance Upload</v>
      </c>
      <c r="E82" t="s">
        <v>188</v>
      </c>
      <c r="F82" t="s">
        <v>189</v>
      </c>
    </row>
    <row r="83" spans="1:6" x14ac:dyDescent="0.2">
      <c r="A83" t="s">
        <v>6</v>
      </c>
      <c r="B83" t="s">
        <v>187</v>
      </c>
      <c r="C83" t="str" s="2">
        <f>HYPERLINK("https://www.enginatics.com/reports/po-approved-supplier-list-upload","PO Approved Supplier List Upload")</f>
        <v>PO Approved Supplier List Upload</v>
      </c>
      <c r="E83" t="s">
        <v>190</v>
      </c>
      <c r="F83" t="s">
        <v>191</v>
      </c>
    </row>
    <row r="84" spans="1:6" x14ac:dyDescent="0.2">
      <c r="A84" t="s">
        <v>6</v>
      </c>
      <c r="B84" t="s">
        <v>187</v>
      </c>
      <c r="C84" t="str" s="2">
        <f>HYPERLINK("https://www.enginatics.com/reports/po-purchasing-document-upload","PO Purchasing Document Upload")</f>
        <v>PO Purchasing Document Upload</v>
      </c>
      <c r="E84" t="s">
        <v>192</v>
      </c>
      <c r="F84" t="s">
        <v>193</v>
      </c>
    </row>
    <row r="85" spans="1:6" x14ac:dyDescent="0.2">
      <c r="A85" t="s">
        <v>6</v>
      </c>
      <c r="B85" t="s">
        <v>187</v>
      </c>
      <c r="C85" t="str" s="2">
        <f>HYPERLINK("https://www.enginatics.com/reports/po-receiving-transaction-upload","PO Receiving Transaction Upload")</f>
        <v>PO Receiving Transaction Upload</v>
      </c>
      <c r="E85" t="s">
        <v>194</v>
      </c>
      <c r="F85" t="s">
        <v>195</v>
      </c>
    </row>
    <row r="86" spans="1:6" x14ac:dyDescent="0.2">
      <c r="A86" t="s">
        <v>6</v>
      </c>
      <c r="B86" t="s">
        <v>187</v>
      </c>
      <c r="C86" t="str" s="2">
        <f>HYPERLINK("https://www.enginatics.com/reports/po-requisition-template-upload","PO Requisition Template Upload")</f>
        <v>PO Requisition Template Upload</v>
      </c>
      <c r="E86" t="s">
        <v>196</v>
      </c>
      <c r="F86" t="s">
        <v>197</v>
      </c>
    </row>
    <row r="87" spans="1:6" x14ac:dyDescent="0.2">
      <c r="A87" t="s">
        <v>6</v>
      </c>
      <c r="B87" t="s">
        <v>187</v>
      </c>
      <c r="C87" t="str" s="2">
        <f>HYPERLINK("https://www.enginatics.com/reports/po-requisition-upload","PO Requisition Upload")</f>
        <v>PO Requisition Upload</v>
      </c>
      <c r="D87" t="str" s="2">
        <f>HYPERLINK("https://www.enginatics.com/example/po-requisition-upload","PO Requisition Upload - Template without DFF columns 11-Mar-2024 143621 (1).xlsm")</f>
        <v>PO Requisition Upload - Template without DFF columns 11-Mar-2024 143621 (1).xlsm</v>
      </c>
      <c r="E87" t="s">
        <v>198</v>
      </c>
      <c r="F87" t="s">
        <v>199</v>
      </c>
    </row>
    <row r="88" spans="1:6" x14ac:dyDescent="0.2">
      <c r="A88" t="s">
        <v>6</v>
      </c>
      <c r="B88" t="s">
        <v>200</v>
      </c>
      <c r="C88" t="str" s="2">
        <f>HYPERLINK("https://www.enginatics.com/reports/qa-collection-element-upload","QA Collection Element Upload")</f>
        <v>QA Collection Element Upload</v>
      </c>
      <c r="E88" t="s">
        <v>201</v>
      </c>
      <c r="F88" t="s">
        <v>202</v>
      </c>
    </row>
    <row r="89" spans="1:6" x14ac:dyDescent="0.2">
      <c r="A89" t="s">
        <v>6</v>
      </c>
      <c r="B89" t="s">
        <v>200</v>
      </c>
      <c r="C89" t="str" s="2">
        <f>HYPERLINK("https://www.enginatics.com/reports/qa-collection-plan-upload","QA Collection Plan Upload")</f>
        <v>QA Collection Plan Upload</v>
      </c>
      <c r="E89" t="s">
        <v>203</v>
      </c>
      <c r="F89" t="s">
        <v>204</v>
      </c>
    </row>
    <row r="90" spans="1:6" x14ac:dyDescent="0.2">
      <c r="A90" t="s">
        <v>6</v>
      </c>
      <c r="B90" t="s">
        <v>200</v>
      </c>
      <c r="C90" t="str" s="2">
        <f>HYPERLINK("https://www.enginatics.com/reports/qa-plan-relationship-upload","QA Plan Relationship Upload")</f>
        <v>QA Plan Relationship Upload</v>
      </c>
      <c r="E90" t="s">
        <v>205</v>
      </c>
      <c r="F90" t="s">
        <v>206</v>
      </c>
    </row>
    <row r="91" spans="1:6" x14ac:dyDescent="0.2">
      <c r="A91" t="s">
        <v>6</v>
      </c>
      <c r="B91" t="s">
        <v>207</v>
      </c>
      <c r="C91" t="str" s="2">
        <f>HYPERLINK("https://www.enginatics.com/reports/qp-gsa-pricing-upload","QP GSA Pricing Upload")</f>
        <v>QP GSA Pricing Upload</v>
      </c>
      <c r="E91" t="s">
        <v>208</v>
      </c>
      <c r="F91" t="s">
        <v>209</v>
      </c>
    </row>
    <row r="92" spans="1:6" x14ac:dyDescent="0.2">
      <c r="A92" t="s">
        <v>6</v>
      </c>
      <c r="B92" t="s">
        <v>207</v>
      </c>
      <c r="C92" t="str" s="2">
        <f>HYPERLINK("https://www.enginatics.com/reports/qp-modifier-upload","QP Modifier Upload")</f>
        <v>QP Modifier Upload</v>
      </c>
      <c r="E92" t="s">
        <v>210</v>
      </c>
      <c r="F92" t="s">
        <v>211</v>
      </c>
    </row>
    <row r="93" spans="1:6" x14ac:dyDescent="0.2">
      <c r="A93" t="s">
        <v>6</v>
      </c>
      <c r="B93" t="s">
        <v>207</v>
      </c>
      <c r="C93" t="str" s="2">
        <f>HYPERLINK("https://www.enginatics.com/reports/qp-price-list-upload","QP Price List Upload")</f>
        <v>QP Price List Upload</v>
      </c>
      <c r="E93" t="s">
        <v>212</v>
      </c>
      <c r="F93" t="s">
        <v>213</v>
      </c>
    </row>
    <row r="94" spans="1:6" x14ac:dyDescent="0.2">
      <c r="A94" t="s">
        <v>6</v>
      </c>
      <c r="B94" t="s">
        <v>207</v>
      </c>
      <c r="C94" t="str" s="2">
        <f>HYPERLINK("https://www.enginatics.com/reports/qp-qualifier-group-upload","QP Qualifier Group Upload")</f>
        <v>QP Qualifier Group Upload</v>
      </c>
      <c r="E94" t="s">
        <v>214</v>
      </c>
      <c r="F94" t="s">
        <v>215</v>
      </c>
    </row>
    <row r="95" spans="1:6" x14ac:dyDescent="0.2">
      <c r="A95" t="s">
        <v>6</v>
      </c>
      <c r="B95" t="s">
        <v>216</v>
      </c>
      <c r="C95" t="str" s="2">
        <f>HYPERLINK("https://www.enginatics.com/reports/wip-job-upload","WIP Job Upload")</f>
        <v>WIP Job Upload</v>
      </c>
      <c r="E95" t="s">
        <v>217</v>
      </c>
      <c r="F95" t="s">
        <v>218</v>
      </c>
    </row>
  </sheetData>
  <autoFilter ref="A1:F1"/>
  <pageMargins left="0.7" right="0.7" top="0.75" bottom="0.75" header="0.3" footer="0.3"/>
  <pageSetup paperSize="9" orientation="landscape" horizontalDpi="0" verticalDpi="0"/>
  <headerFooter>
    <oddHeader>&amp;CEnginatics Blitz Reports and Uploads</oddHeader>
    <oddFooter>&amp;CAndy's footer</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625"/>
  <sheetViews>
    <sheetView workbookViewId="0">
      <pane ySplit="1" topLeftCell="A2" activePane="bottomLeft" state="frozen"/>
      <selection pane="bottomLeft"/>
    </sheetView>
  </sheetViews>
  <sheetFormatPr baseColWidth="10" defaultRowHeight="12.75" x14ac:dyDescent="0.2"/>
  <cols>
    <col min="1" max="1" width="6.838" bestFit="1" customWidth="1"/>
    <col min="2" max="2" width="29.994" bestFit="1" customWidth="1"/>
    <col min="3" max="3" width="57.973" bestFit="1" customWidth="1"/>
    <col min="4" max="5" width="60.7148438" bestFit="1" customWidth="1"/>
    <col min="6" max="6" width="57.973" bestFit="1" customWidth="1"/>
  </cols>
  <sheetData>
    <row r="1" spans="1:6" customFormat="1" x14ac:dyDescent="0.2">
      <c r="A1" s="1" t="s">
        <v>0</v>
      </c>
      <c r="B1" s="1" t="s">
        <v>1</v>
      </c>
      <c r="C1" s="1" t="s">
        <v>2</v>
      </c>
      <c r="D1" s="1" t="s">
        <v>3</v>
      </c>
      <c r="E1" s="1" t="s">
        <v>4</v>
      </c>
      <c r="F1" s="1" t="s">
        <v>5</v>
      </c>
    </row>
    <row r="2" spans="1:6" x14ac:dyDescent="0.2">
      <c r="A2" t="s">
        <v>219</v>
      </c>
      <c r="B2" t="s">
        <v>220</v>
      </c>
      <c r="C2" t="str" s="2">
        <f>HYPERLINK("https://www.enginatics.com/reports/ad-applied-patches","AD Applied Patches")</f>
        <v>AD Applied Patches</v>
      </c>
      <c r="D2" t="str" s="2">
        <f>HYPERLINK("https://www.enginatics.com/example/ad-applied-patches","AD Applied Patches 11-Apr-2020 004347.xlsx")</f>
        <v>AD Applied Patches 11-Apr-2020 004347.xlsx</v>
      </c>
      <c r="E2" t="s">
        <v>221</v>
      </c>
      <c r="F2" t="s">
        <v>222</v>
      </c>
    </row>
    <row r="3" spans="1:6" x14ac:dyDescent="0.2">
      <c r="A3" t="s">
        <v>219</v>
      </c>
      <c r="B3" t="s">
        <v>220</v>
      </c>
      <c r="C3" t="str" s="2">
        <f>HYPERLINK("https://www.enginatics.com/reports/ad-applied-patches-r12-2","AD Applied Patches R12.2")</f>
        <v>AD Applied Patches R12.2</v>
      </c>
      <c r="D3" t="str" s="2">
        <f>HYPERLINK("https://www.enginatics.com/example/ad-applied-patches-r12-2","AD Applied Patches R12.2 04-Apr-2026 123137.xlsx")</f>
        <v>AD Applied Patches R12.2 04-Apr-2026 123137.xlsx</v>
      </c>
      <c r="E3" t="s">
        <v>223</v>
      </c>
      <c r="F3" t="s">
        <v>224</v>
      </c>
    </row>
    <row r="4" spans="1:6" x14ac:dyDescent="0.2">
      <c r="A4" t="s">
        <v>219</v>
      </c>
      <c r="B4" t="s">
        <v>225</v>
      </c>
      <c r="C4" t="str" s="2">
        <f>HYPERLINK("https://www.enginatics.com/reports/alr-alerts","ALR Alerts")</f>
        <v>ALR Alerts</v>
      </c>
      <c r="D4" t="str" s="2">
        <f>HYPERLINK("https://www.enginatics.com/example/alr-alerts","ALR Alerts 07-May-2024 191032.xlsx")</f>
        <v>ALR Alerts 07-May-2024 191032.xlsx</v>
      </c>
      <c r="F4" t="s">
        <v>226</v>
      </c>
    </row>
    <row r="5" spans="1:6" x14ac:dyDescent="0.2">
      <c r="A5" t="s">
        <v>219</v>
      </c>
      <c r="B5" t="s">
        <v>7</v>
      </c>
      <c r="C5" t="str" s="2">
        <f>HYPERLINK("https://www.enginatics.com/reports/ap-1099-payments","AP 1099 Payments")</f>
        <v>AP 1099 Payments</v>
      </c>
      <c r="D5" t="str" s="2">
        <f>HYPERLINK("https://www.enginatics.com/example/ap-1099-payments","AP 1099 Payments 28-Dec-2025 142614.xlsx")</f>
        <v>AP 1099 Payments 28-Dec-2025 142614.xlsx</v>
      </c>
      <c r="E5" t="s">
        <v>227</v>
      </c>
      <c r="F5" t="s">
        <v>228</v>
      </c>
    </row>
    <row r="6" spans="1:6" x14ac:dyDescent="0.2">
      <c r="A6" t="s">
        <v>219</v>
      </c>
      <c r="B6" t="s">
        <v>7</v>
      </c>
      <c r="C6" t="str" s="2">
        <f>HYPERLINK("https://www.enginatics.com/reports/ap-accounted-invoice-aging","AP Accounted Invoice Aging")</f>
        <v>AP Accounted Invoice Aging</v>
      </c>
      <c r="D6" t="str" s="2">
        <f>HYPERLINK("https://www.enginatics.com/example/ap-accounted-invoice-aging","AP Accounted Invoice Aging - TEST B1 19-Jan-2026 085443.xlsx")</f>
        <v>AP Accounted Invoice Aging - TEST B1 19-Jan-2026 085443.xlsx</v>
      </c>
      <c r="E6" t="s">
        <v>229</v>
      </c>
      <c r="F6" t="s">
        <v>230</v>
      </c>
    </row>
    <row r="7" spans="1:6" x14ac:dyDescent="0.2">
      <c r="A7" t="s">
        <v>219</v>
      </c>
      <c r="B7" t="s">
        <v>7</v>
      </c>
      <c r="C7" t="str" s="2">
        <f>HYPERLINK("https://www.enginatics.com/reports/ap-cash-requirement","AP Cash Requirement")</f>
        <v>AP Cash Requirement</v>
      </c>
      <c r="D7" t="str" s="2">
        <f>HYPERLINK("https://www.enginatics.com/example/ap-cash-requirement","AP Cash Requirement 03-Apr-2018 093841.xlsx")</f>
        <v>AP Cash Requirement 03-Apr-2018 093841.xlsx</v>
      </c>
      <c r="E7" t="s">
        <v>231</v>
      </c>
      <c r="F7" t="s">
        <v>232</v>
      </c>
    </row>
    <row r="8" spans="1:6" x14ac:dyDescent="0.2">
      <c r="A8" t="s">
        <v>219</v>
      </c>
      <c r="B8" t="s">
        <v>7</v>
      </c>
      <c r="C8" t="str" s="2">
        <f>HYPERLINK("https://www.enginatics.com/reports/ap-expense-policy-violations","AP Expense Policy Violations")</f>
        <v>AP Expense Policy Violations</v>
      </c>
      <c r="D8" t="str" s="2">
        <f>HYPERLINK("https://www.enginatics.com/example/ap-expense-policy-violations","AP Expense Policy Violations 12-Mar-2026 173815.xlsx")</f>
        <v>AP Expense Policy Violations 12-Mar-2026 173815.xlsx</v>
      </c>
      <c r="E8" t="s">
        <v>233</v>
      </c>
      <c r="F8" t="s">
        <v>234</v>
      </c>
    </row>
    <row r="9" spans="1:6" x14ac:dyDescent="0.2">
      <c r="A9" t="s">
        <v>219</v>
      </c>
      <c r="B9" t="s">
        <v>7</v>
      </c>
      <c r="C9" t="str" s="2">
        <f>HYPERLINK("https://www.enginatics.com/reports/ap-expenses","AP Expenses")</f>
        <v>AP Expenses</v>
      </c>
      <c r="D9" t="str" s="2">
        <f>HYPERLINK("https://www.enginatics.com/example/ap-expenses","AP Expenses 12-Sep-2025 212747.xlsx")</f>
        <v>AP Expenses 12-Sep-2025 212747.xlsx</v>
      </c>
      <c r="E9" t="s">
        <v>235</v>
      </c>
      <c r="F9" t="s">
        <v>236</v>
      </c>
    </row>
    <row r="10" spans="1:6" x14ac:dyDescent="0.2">
      <c r="A10" t="s">
        <v>219</v>
      </c>
      <c r="B10" t="s">
        <v>7</v>
      </c>
      <c r="C10" t="str" s="2">
        <f>HYPERLINK("https://www.enginatics.com/reports/ap-intercompany-invoice-details","AP Intercompany Invoice Details")</f>
        <v>AP Intercompany Invoice Details</v>
      </c>
      <c r="E10" t="s">
        <v>237</v>
      </c>
      <c r="F10" t="s">
        <v>238</v>
      </c>
    </row>
    <row r="11" spans="1:6" x14ac:dyDescent="0.2">
      <c r="A11" t="s">
        <v>219</v>
      </c>
      <c r="B11" t="s">
        <v>7</v>
      </c>
      <c r="C11" t="str" s="2">
        <f>HYPERLINK("https://www.enginatics.com/reports/ap-invoice-approval-status","AP Invoice Approval Status")</f>
        <v>AP Invoice Approval Status</v>
      </c>
      <c r="D11" t="str" s="2">
        <f>HYPERLINK("https://www.enginatics.com/example/ap-invoice-approval-status","AP Invoice Approval Status - By Approver 18-Jul-2024 070508.xlsx")</f>
        <v>AP Invoice Approval Status - By Approver 18-Jul-2024 070508.xlsx</v>
      </c>
      <c r="E11" t="s">
        <v>239</v>
      </c>
      <c r="F11" t="s">
        <v>240</v>
      </c>
    </row>
    <row r="12" spans="1:6" x14ac:dyDescent="0.2">
      <c r="A12" t="s">
        <v>219</v>
      </c>
      <c r="B12" t="s">
        <v>7</v>
      </c>
      <c r="C12" t="str" s="2">
        <f>HYPERLINK("https://www.enginatics.com/reports/ap-invoice-audit-listing","AP Invoice Audit Listing")</f>
        <v>AP Invoice Audit Listing</v>
      </c>
      <c r="D12" t="str" s="2">
        <f>HYPERLINK("https://www.enginatics.com/example/ap-invoice-audit-listing","AP Invoice Audit Listing 03-Jan-2022 100708.xlsx")</f>
        <v>AP Invoice Audit Listing 03-Jan-2022 100708.xlsx</v>
      </c>
      <c r="E12" t="s">
        <v>241</v>
      </c>
      <c r="F12" t="s">
        <v>242</v>
      </c>
    </row>
    <row r="13" spans="1:6" x14ac:dyDescent="0.2">
      <c r="A13" t="s">
        <v>219</v>
      </c>
      <c r="B13" t="s">
        <v>7</v>
      </c>
      <c r="C13" t="str" s="2">
        <f>HYPERLINK("https://www.enginatics.com/reports/ap-invoice-payments","AP Invoice Payments")</f>
        <v>AP Invoice Payments</v>
      </c>
      <c r="D13" t="str" s="2">
        <f>HYPERLINK("https://www.enginatics.com/example/ap-invoice-payments","AP Invoice Payments 22-Aug-2020 224831.xlsx")</f>
        <v>AP Invoice Payments 22-Aug-2020 224831.xlsx</v>
      </c>
      <c r="E13" t="s">
        <v>243</v>
      </c>
      <c r="F13" t="s">
        <v>244</v>
      </c>
    </row>
    <row r="14" spans="1:6" x14ac:dyDescent="0.2">
      <c r="A14" t="s">
        <v>219</v>
      </c>
      <c r="B14" t="s">
        <v>7</v>
      </c>
      <c r="C14" t="str" s="2">
        <f>HYPERLINK("https://www.enginatics.com/reports/ap-invoice-payments-11g","AP Invoice Payments 11g")</f>
        <v>AP Invoice Payments 11g</v>
      </c>
      <c r="E14" t="s">
        <v>245</v>
      </c>
      <c r="F14" t="s">
        <v>246</v>
      </c>
    </row>
    <row r="15" spans="1:6" x14ac:dyDescent="0.2">
      <c r="A15" t="s">
        <v>219</v>
      </c>
      <c r="B15" t="s">
        <v>7</v>
      </c>
      <c r="C15" t="str" s="2">
        <f>HYPERLINK("https://www.enginatics.com/reports/ap-invoice-on-hold","AP Invoice on Hold")</f>
        <v>AP Invoice on Hold</v>
      </c>
      <c r="D15" t="str" s="2">
        <f>HYPERLINK("https://www.enginatics.com/example/ap-invoice-on-hold","AP Invoice on Hold 30-Sep-2020 221341.xlsx")</f>
        <v>AP Invoice on Hold 30-Sep-2020 221341.xlsx</v>
      </c>
      <c r="E15" t="s">
        <v>247</v>
      </c>
      <c r="F15" t="s">
        <v>248</v>
      </c>
    </row>
    <row r="16" spans="1:6" x14ac:dyDescent="0.2">
      <c r="A16" t="s">
        <v>219</v>
      </c>
      <c r="B16" t="s">
        <v>7</v>
      </c>
      <c r="C16" t="str" s="2">
        <f>HYPERLINK("https://www.enginatics.com/reports/ap-invoices-and-lines","AP Invoices and Lines")</f>
        <v>AP Invoices and Lines</v>
      </c>
      <c r="D16" t="str" s="2">
        <f>HYPERLINK("https://www.enginatics.com/example/ap-invoices-and-lines","AP Invoices and Lines 29-Jul-2020 201730.xlsx")</f>
        <v>AP Invoices and Lines 29-Jul-2020 201730.xlsx</v>
      </c>
      <c r="E16" t="s">
        <v>249</v>
      </c>
      <c r="F16" t="s">
        <v>250</v>
      </c>
    </row>
    <row r="17" spans="1:6" x14ac:dyDescent="0.2">
      <c r="A17" t="s">
        <v>219</v>
      </c>
      <c r="B17" t="s">
        <v>7</v>
      </c>
      <c r="C17" t="str" s="2">
        <f>HYPERLINK("https://www.enginatics.com/reports/ap-invoices-with-po-intercompany-and-sla-details","AP Invoices with PO, Intercompany and SLA Details")</f>
        <v>AP Invoices with PO, Intercompany and SLA Details</v>
      </c>
      <c r="E17" t="s">
        <v>251</v>
      </c>
      <c r="F17" t="s">
        <v>251</v>
      </c>
    </row>
    <row r="18" spans="1:6" x14ac:dyDescent="0.2">
      <c r="A18" t="s">
        <v>219</v>
      </c>
      <c r="B18" t="s">
        <v>7</v>
      </c>
      <c r="C18" t="str" s="2">
        <f>HYPERLINK("https://www.enginatics.com/reports/ap-matched-and-modified-receipts","AP Matched and Modified Receipts")</f>
        <v>AP Matched and Modified Receipts</v>
      </c>
      <c r="D18" t="str" s="2">
        <f>HYPERLINK("https://www.enginatics.com/example/ap-matched-and-modified-receipts","AP Matched and Modified Receipts 16-Jul-2024 081411.xlsx")</f>
        <v>AP Matched and Modified Receipts 16-Jul-2024 081411.xlsx</v>
      </c>
      <c r="E18" t="s">
        <v>252</v>
      </c>
      <c r="F18" t="s">
        <v>253</v>
      </c>
    </row>
    <row r="19" spans="1:6" x14ac:dyDescent="0.2">
      <c r="A19" t="s">
        <v>219</v>
      </c>
      <c r="B19" t="s">
        <v>7</v>
      </c>
      <c r="C19" t="str" s="2">
        <f>HYPERLINK("https://www.enginatics.com/reports/ap-negative-supplier-balance","AP Negative Supplier Balance")</f>
        <v>AP Negative Supplier Balance</v>
      </c>
      <c r="D19" t="str" s="2">
        <f>HYPERLINK("https://www.enginatics.com/example/ap-negative-supplier-balance","AP Negative Supplier Balance 24-Jul-2023 215850.xlsx")</f>
        <v>AP Negative Supplier Balance 24-Jul-2023 215850.xlsx</v>
      </c>
      <c r="E19" t="s">
        <v>254</v>
      </c>
      <c r="F19" t="s">
        <v>255</v>
      </c>
    </row>
    <row r="20" spans="1:6" x14ac:dyDescent="0.2">
      <c r="A20" t="s">
        <v>219</v>
      </c>
      <c r="B20" t="s">
        <v>7</v>
      </c>
      <c r="C20" t="str" s="2">
        <f>HYPERLINK("https://www.enginatics.com/reports/ap-open-balances-revaluation","AP Open Balances Revaluation")</f>
        <v>AP Open Balances Revaluation</v>
      </c>
      <c r="D20" t="str" s="2">
        <f>HYPERLINK("https://www.enginatics.com/example/ap-open-balances-revaluation","AP Open Balances Revaluation 30-Oct-2020 190225.xlsx")</f>
        <v>AP Open Balances Revaluation 30-Oct-2020 190225.xlsx</v>
      </c>
      <c r="E20" t="s">
        <v>256</v>
      </c>
      <c r="F20" t="s">
        <v>257</v>
      </c>
    </row>
    <row r="21" spans="1:6" x14ac:dyDescent="0.2">
      <c r="A21" t="s">
        <v>219</v>
      </c>
      <c r="B21" t="s">
        <v>7</v>
      </c>
      <c r="C21" t="str" s="2">
        <f>HYPERLINK("https://www.enginatics.com/reports/ap-open-items-revaluation","AP Open Items Revaluation")</f>
        <v>AP Open Items Revaluation</v>
      </c>
      <c r="D21" t="str" s="2">
        <f>HYPERLINK("https://www.enginatics.com/example/ap-open-items-revaluation","AP Open Items Revaluation 30-Oct-2020 191455.xlsx")</f>
        <v>AP Open Items Revaluation 30-Oct-2020 191455.xlsx</v>
      </c>
      <c r="E21" t="s">
        <v>258</v>
      </c>
      <c r="F21" t="s">
        <v>259</v>
      </c>
    </row>
    <row r="22" spans="1:6" x14ac:dyDescent="0.2">
      <c r="A22" t="s">
        <v>219</v>
      </c>
      <c r="B22" t="s">
        <v>7</v>
      </c>
      <c r="C22" t="str" s="2">
        <f>HYPERLINK("https://www.enginatics.com/reports/ap-period-close-exceptions","AP Period Close Exceptions")</f>
        <v>AP Period Close Exceptions</v>
      </c>
      <c r="E22" t="s">
        <v>260</v>
      </c>
      <c r="F22" t="s">
        <v>261</v>
      </c>
    </row>
    <row r="23" spans="1:6" x14ac:dyDescent="0.2">
      <c r="A23" t="s">
        <v>219</v>
      </c>
      <c r="B23" t="s">
        <v>7</v>
      </c>
      <c r="C23" t="str" s="2">
        <f>HYPERLINK("https://www.enginatics.com/reports/ap-posted-invoice-register","AP Posted Invoice Register")</f>
        <v>AP Posted Invoice Register</v>
      </c>
      <c r="E23" t="s">
        <v>262</v>
      </c>
      <c r="F23" t="s">
        <v>263</v>
      </c>
    </row>
    <row r="24" spans="1:6" x14ac:dyDescent="0.2">
      <c r="A24" t="s">
        <v>219</v>
      </c>
      <c r="B24" t="s">
        <v>7</v>
      </c>
      <c r="C24" t="str" s="2">
        <f>HYPERLINK("https://www.enginatics.com/reports/ap-posted-payment-register","AP Posted Payment Register")</f>
        <v>AP Posted Payment Register</v>
      </c>
      <c r="E24" t="s">
        <v>264</v>
      </c>
      <c r="F24" t="s">
        <v>265</v>
      </c>
    </row>
    <row r="25" spans="1:6" x14ac:dyDescent="0.2">
      <c r="A25" t="s">
        <v>219</v>
      </c>
      <c r="B25" t="s">
        <v>7</v>
      </c>
      <c r="C25" t="str" s="2">
        <f>HYPERLINK("https://www.enginatics.com/reports/ap-supplier-statement","AP Supplier Statement")</f>
        <v>AP Supplier Statement</v>
      </c>
      <c r="D25" t="str" s="2">
        <f>HYPERLINK("https://www.enginatics.com/example/ap-supplier-statement","AP Supplier Statement 28-Apr-2021 200101.xlsx")</f>
        <v>AP Supplier Statement 28-Apr-2021 200101.xlsx</v>
      </c>
      <c r="E25" t="s">
        <v>266</v>
      </c>
      <c r="F25" t="s">
        <v>267</v>
      </c>
    </row>
    <row r="26" spans="1:6" x14ac:dyDescent="0.2">
      <c r="A26" t="s">
        <v>219</v>
      </c>
      <c r="B26" t="s">
        <v>7</v>
      </c>
      <c r="C26" t="str" s="2">
        <f>HYPERLINK("https://www.enginatics.com/reports/ap-suppliers","AP Suppliers")</f>
        <v>AP Suppliers</v>
      </c>
      <c r="D26" t="str" s="2">
        <f>HYPERLINK("https://www.enginatics.com/example/ap-suppliers","AP Suppliers 10-Jul-2024 104442.xlsx")</f>
        <v>AP Suppliers 10-Jul-2024 104442.xlsx</v>
      </c>
      <c r="E26" t="s">
        <v>268</v>
      </c>
      <c r="F26" t="s">
        <v>269</v>
      </c>
    </row>
    <row r="27" spans="1:6" x14ac:dyDescent="0.2">
      <c r="A27" t="s">
        <v>219</v>
      </c>
      <c r="B27" t="s">
        <v>7</v>
      </c>
      <c r="C27" t="str" s="2">
        <f>HYPERLINK("https://www.enginatics.com/reports/ap-suppliers-revenue-summary","AP Suppliers Revenue Summary")</f>
        <v>AP Suppliers Revenue Summary</v>
      </c>
      <c r="D27" t="str" s="2">
        <f>HYPERLINK("https://www.enginatics.com/example/ap-suppliers-revenue-summary","AP Suppliers Revenue Summary 16-Nov-2020 043149.xlsx")</f>
        <v>AP Suppliers Revenue Summary 16-Nov-2020 043149.xlsx</v>
      </c>
      <c r="E27" t="s">
        <v>270</v>
      </c>
      <c r="F27" t="s">
        <v>271</v>
      </c>
    </row>
    <row r="28" spans="1:6" x14ac:dyDescent="0.2">
      <c r="A28" t="s">
        <v>219</v>
      </c>
      <c r="B28" t="s">
        <v>7</v>
      </c>
      <c r="C28" t="str" s="2">
        <f>HYPERLINK("https://www.enginatics.com/reports/ap-trial-balance","AP Trial Balance")</f>
        <v>AP Trial Balance</v>
      </c>
      <c r="D28" t="str" s="2">
        <f>HYPERLINK("https://www.enginatics.com/example/ap-trial-balance","AP Trial Balance - Pivot Default Template 17-Jan-2023 235141.xlsx")</f>
        <v>AP Trial Balance - Pivot Default Template 17-Jan-2023 235141.xlsx</v>
      </c>
      <c r="E28" t="s">
        <v>272</v>
      </c>
      <c r="F28" t="s">
        <v>273</v>
      </c>
    </row>
    <row r="29" spans="1:6" x14ac:dyDescent="0.2">
      <c r="A29" t="s">
        <v>219</v>
      </c>
      <c r="B29" t="s">
        <v>7</v>
      </c>
      <c r="C29" t="str" s="2">
        <f>HYPERLINK("https://www.enginatics.com/reports/ap-trial-balance-report-definitions","AP Trial Balance Report Definitions")</f>
        <v>AP Trial Balance Report Definitions</v>
      </c>
      <c r="D29" t="str" s="2">
        <f>HYPERLINK("https://www.enginatics.com/example/ap-trial-balance-report-definitions","AP Trial Balance Report Definitions 27-May-2021 170951.xlsx")</f>
        <v>AP Trial Balance Report Definitions 27-May-2021 170951.xlsx</v>
      </c>
      <c r="E29" t="s">
        <v>274</v>
      </c>
      <c r="F29" t="s">
        <v>275</v>
      </c>
    </row>
    <row r="30" spans="1:6" x14ac:dyDescent="0.2">
      <c r="A30" t="s">
        <v>219</v>
      </c>
      <c r="B30" t="s">
        <v>11</v>
      </c>
      <c r="C30" t="str" s="2">
        <f>HYPERLINK("https://www.enginatics.com/reports/ar-adjustment-register","AR Adjustment Register")</f>
        <v>AR Adjustment Register</v>
      </c>
      <c r="D30" t="str" s="2">
        <f>HYPERLINK("https://www.enginatics.com/example/ar-adjustment-register","AR Adjustment Register - Default 01-May-2024 000931.xlsx")</f>
        <v>AR Adjustment Register - Default 01-May-2024 000931.xlsx</v>
      </c>
      <c r="E30" t="s">
        <v>276</v>
      </c>
      <c r="F30" t="s">
        <v>277</v>
      </c>
    </row>
    <row r="31" spans="1:6" x14ac:dyDescent="0.2">
      <c r="A31" t="s">
        <v>219</v>
      </c>
      <c r="B31" t="s">
        <v>11</v>
      </c>
      <c r="C31" t="str" s="2">
        <f>HYPERLINK("https://www.enginatics.com/reports/ar-aging","AR Aging")</f>
        <v>AR Aging</v>
      </c>
      <c r="D31" t="str" s="2">
        <f>HYPERLINK("https://www.enginatics.com/example/ar-aging","AR Aging - Pivot and sort by customer 22-Feb-2024 185021.xlsx")</f>
        <v>AR Aging - Pivot and sort by customer 22-Feb-2024 185021.xlsx</v>
      </c>
      <c r="E31" t="s">
        <v>278</v>
      </c>
      <c r="F31" t="s">
        <v>279</v>
      </c>
    </row>
    <row r="32" spans="1:6" x14ac:dyDescent="0.2">
      <c r="A32" t="s">
        <v>219</v>
      </c>
      <c r="B32" t="s">
        <v>11</v>
      </c>
      <c r="C32" t="str" s="2">
        <f>HYPERLINK("https://www.enginatics.com/reports/ar-aging-buckets-and-interest-tiers-setup","AR Aging Buckets and Interest Tiers Setup")</f>
        <v>AR Aging Buckets and Interest Tiers Setup</v>
      </c>
      <c r="D32" t="str" s="2">
        <f>HYPERLINK("https://www.enginatics.com/example/ar-aging-buckets-and-interest-tiers-setup","AR Aging Buckets and Interest Tiers Setup 31-Oct-2024 114327.xlsx")</f>
        <v>AR Aging Buckets and Interest Tiers Setup 31-Oct-2024 114327.xlsx</v>
      </c>
      <c r="E32" t="s">
        <v>280</v>
      </c>
      <c r="F32" t="s">
        <v>280</v>
      </c>
    </row>
    <row r="33" spans="1:6" x14ac:dyDescent="0.2">
      <c r="A33" t="s">
        <v>219</v>
      </c>
      <c r="B33" t="s">
        <v>11</v>
      </c>
      <c r="C33" t="str" s="2">
        <f>HYPERLINK("https://www.enginatics.com/reports/ar-applied-receipts","AR Applied Receipts")</f>
        <v>AR Applied Receipts</v>
      </c>
      <c r="D33" t="str" s="2">
        <f>HYPERLINK("https://www.enginatics.com/example/ar-applied-receipts","AR Applied Receipts - Pivot Summary by Customer Name 01-Dec-2023 081511.xlsx")</f>
        <v>AR Applied Receipts - Pivot Summary by Customer Name 01-Dec-2023 081511.xlsx</v>
      </c>
      <c r="E33" t="s">
        <v>281</v>
      </c>
      <c r="F33" t="s">
        <v>282</v>
      </c>
    </row>
    <row r="34" spans="1:6" x14ac:dyDescent="0.2">
      <c r="A34" t="s">
        <v>219</v>
      </c>
      <c r="B34" t="s">
        <v>11</v>
      </c>
      <c r="C34" t="str" s="2">
        <f>HYPERLINK("https://www.enginatics.com/reports/ar-autoinvoice-interface-summary","AR Autoinvoice Interface Summary")</f>
        <v>AR Autoinvoice Interface Summary</v>
      </c>
      <c r="D34" t="str" s="2">
        <f>HYPERLINK("https://www.enginatics.com/example/ar-autoinvoice-interface-summary","AR Autoinvoice Interface Summary 23-Jul-2017 155926.xlsx")</f>
        <v>AR Autoinvoice Interface Summary 23-Jul-2017 155926.xlsx</v>
      </c>
      <c r="E34" t="s">
        <v>283</v>
      </c>
      <c r="F34" t="s">
        <v>284</v>
      </c>
    </row>
    <row r="35" spans="1:6" x14ac:dyDescent="0.2">
      <c r="A35" t="s">
        <v>219</v>
      </c>
      <c r="B35" t="s">
        <v>11</v>
      </c>
      <c r="C35" t="str" s="2">
        <f>HYPERLINK("https://www.enginatics.com/reports/ar-customer-credit-limits","AR Customer Credit Limits")</f>
        <v>AR Customer Credit Limits</v>
      </c>
      <c r="D35" t="str" s="2">
        <f>HYPERLINK("https://www.enginatics.com/example/ar-customer-credit-limits","AR Customer Credit Limits 11-May-2017 123414.xlsx")</f>
        <v>AR Customer Credit Limits 11-May-2017 123414.xlsx</v>
      </c>
      <c r="E35" t="s">
        <v>285</v>
      </c>
      <c r="F35" t="s">
        <v>286</v>
      </c>
    </row>
    <row r="36" spans="1:6" x14ac:dyDescent="0.2">
      <c r="A36" t="s">
        <v>219</v>
      </c>
      <c r="B36" t="s">
        <v>11</v>
      </c>
      <c r="C36" t="str" s="2">
        <f>HYPERLINK("https://www.enginatics.com/reports/ar-customer-credit-snapshot","AR Customer Credit Snapshot")</f>
        <v>AR Customer Credit Snapshot</v>
      </c>
      <c r="D36" t="str" s="2">
        <f>HYPERLINK("https://www.enginatics.com/example/ar-customer-credit-snapshot","AR Customer Credit Snapshot 13-Nov-2024 213434.xlsx")</f>
        <v>AR Customer Credit Snapshot 13-Nov-2024 213434.xlsx</v>
      </c>
      <c r="E36" t="s">
        <v>287</v>
      </c>
      <c r="F36" t="s">
        <v>288</v>
      </c>
    </row>
    <row r="37" spans="1:6" x14ac:dyDescent="0.2">
      <c r="A37" t="s">
        <v>219</v>
      </c>
      <c r="B37" t="s">
        <v>11</v>
      </c>
      <c r="C37" t="str" s="2">
        <f>HYPERLINK("https://www.enginatics.com/reports/ar-customer-open-balances-period-lookback","AR Customer Open Balances Period Lookback")</f>
        <v>AR Customer Open Balances Period Lookback</v>
      </c>
      <c r="E37" t="s">
        <v>289</v>
      </c>
      <c r="F37" t="s">
        <v>290</v>
      </c>
    </row>
    <row r="38" spans="1:6" x14ac:dyDescent="0.2">
      <c r="A38" t="s">
        <v>219</v>
      </c>
      <c r="B38" t="s">
        <v>11</v>
      </c>
      <c r="C38" t="str" s="2">
        <f>HYPERLINK("https://www.enginatics.com/reports/ar-customer-profiles","AR Customer Profiles")</f>
        <v>AR Customer Profiles</v>
      </c>
      <c r="D38" t="str" s="2">
        <f>HYPERLINK("https://www.enginatics.com/example/ar-customer-profiles","AR Customer Profiles 10-Jun-2026 143800.xlsx")</f>
        <v>AR Customer Profiles 10-Jun-2026 143800.xlsx</v>
      </c>
      <c r="E38" t="s">
        <v>291</v>
      </c>
      <c r="F38" t="s">
        <v>292</v>
      </c>
    </row>
    <row r="39" spans="1:6" x14ac:dyDescent="0.2">
      <c r="A39" t="s">
        <v>219</v>
      </c>
      <c r="B39" t="s">
        <v>11</v>
      </c>
      <c r="C39" t="str" s="2">
        <f>HYPERLINK("https://www.enginatics.com/reports/ar-customer-statement","AR Customer Statement")</f>
        <v>AR Customer Statement</v>
      </c>
      <c r="E39" t="s">
        <v>293</v>
      </c>
      <c r="F39" t="s">
        <v>294</v>
      </c>
    </row>
    <row r="40" spans="1:6" x14ac:dyDescent="0.2">
      <c r="A40" t="s">
        <v>219</v>
      </c>
      <c r="B40" t="s">
        <v>11</v>
      </c>
      <c r="C40" t="str" s="2">
        <f>HYPERLINK("https://www.enginatics.com/reports/ar-customers-and-sites","AR Customers and Sites")</f>
        <v>AR Customers and Sites</v>
      </c>
      <c r="D40" t="str" s="2">
        <f>HYPERLINK("https://www.enginatics.com/example/ar-customers-and-sites","AR Customers and Sites 22-Jul-2023 155106.xlsx")</f>
        <v>AR Customers and Sites 22-Jul-2023 155106.xlsx</v>
      </c>
      <c r="E40" t="s">
        <v>295</v>
      </c>
      <c r="F40" t="s">
        <v>296</v>
      </c>
    </row>
    <row r="41" spans="1:6" x14ac:dyDescent="0.2">
      <c r="A41" t="s">
        <v>219</v>
      </c>
      <c r="B41" t="s">
        <v>11</v>
      </c>
      <c r="C41" t="str" s="2">
        <f>HYPERLINK("https://www.enginatics.com/reports/ar-disputed-invoice","AR Disputed Invoice")</f>
        <v>AR Disputed Invoice</v>
      </c>
      <c r="D41" t="str" s="2">
        <f>HYPERLINK("https://www.enginatics.com/example/ar-disputed-invoice","AR Disputed Invoice 30-Sep-2020 221652.xlsx")</f>
        <v>AR Disputed Invoice 30-Sep-2020 221652.xlsx</v>
      </c>
      <c r="E41" t="s">
        <v>297</v>
      </c>
      <c r="F41" t="s">
        <v>298</v>
      </c>
    </row>
    <row r="42" spans="1:6" x14ac:dyDescent="0.2">
      <c r="A42" t="s">
        <v>219</v>
      </c>
      <c r="B42" t="s">
        <v>11</v>
      </c>
      <c r="C42" t="str" s="2">
        <f>HYPERLINK("https://www.enginatics.com/reports/ar-european-sales-listing","AR European Sales Listing")</f>
        <v>AR European Sales Listing</v>
      </c>
      <c r="D42" t="str" s="2">
        <f>HYPERLINK("https://www.enginatics.com/example/ar-european-sales-listing","AR European Sales Listing 25-Jul-2017 120805.xlsx")</f>
        <v>AR European Sales Listing 25-Jul-2017 120805.xlsx</v>
      </c>
      <c r="E42" t="s">
        <v>299</v>
      </c>
      <c r="F42" t="s">
        <v>300</v>
      </c>
    </row>
    <row r="43" spans="1:6" x14ac:dyDescent="0.2">
      <c r="A43" t="s">
        <v>219</v>
      </c>
      <c r="B43" t="s">
        <v>11</v>
      </c>
      <c r="C43" t="str" s="2">
        <f>HYPERLINK("https://www.enginatics.com/reports/ar-incomplete-transactions","AR Incomplete Transactions")</f>
        <v>AR Incomplete Transactions</v>
      </c>
      <c r="D43" t="str" s="2">
        <f>HYPERLINK("https://www.enginatics.com/example/ar-incomplete-transactions","AR Incomplete Transactions 24-Jul-2017 144216.xlsx")</f>
        <v>AR Incomplete Transactions 24-Jul-2017 144216.xlsx</v>
      </c>
      <c r="E43" t="s">
        <v>301</v>
      </c>
      <c r="F43" t="s">
        <v>302</v>
      </c>
    </row>
    <row r="44" spans="1:6" x14ac:dyDescent="0.2">
      <c r="A44" t="s">
        <v>219</v>
      </c>
      <c r="B44" t="s">
        <v>11</v>
      </c>
      <c r="C44" t="str" s="2">
        <f>HYPERLINK("https://www.enginatics.com/reports/ar-miscellaneous-receipts","AR Miscellaneous Receipts")</f>
        <v>AR Miscellaneous Receipts</v>
      </c>
      <c r="D44" t="str" s="2">
        <f>HYPERLINK("https://www.enginatics.com/example/ar-miscellaneous-receipts","AR Miscellaneous Receipts 24-Jul-2017 151304.xlsx")</f>
        <v>AR Miscellaneous Receipts 24-Jul-2017 151304.xlsx</v>
      </c>
      <c r="E44" t="s">
        <v>303</v>
      </c>
      <c r="F44" t="s">
        <v>304</v>
      </c>
    </row>
    <row r="45" spans="1:6" x14ac:dyDescent="0.2">
      <c r="A45" t="s">
        <v>219</v>
      </c>
      <c r="B45" t="s">
        <v>11</v>
      </c>
      <c r="C45" t="str" s="2">
        <f>HYPERLINK("https://www.enginatics.com/reports/ar-open-balances-revaluation","AR Open Balances Revaluation")</f>
        <v>AR Open Balances Revaluation</v>
      </c>
      <c r="D45" t="str" s="2">
        <f>HYPERLINK("https://www.enginatics.com/example/ar-open-balances-revaluation","AR Open Balances Revaluation - Default 11-Oct-2023 065223.xlsx")</f>
        <v>AR Open Balances Revaluation - Default 11-Oct-2023 065223.xlsx</v>
      </c>
      <c r="E45" t="s">
        <v>305</v>
      </c>
      <c r="F45" t="s">
        <v>306</v>
      </c>
    </row>
    <row r="46" spans="1:6" x14ac:dyDescent="0.2">
      <c r="A46" t="s">
        <v>219</v>
      </c>
      <c r="B46" t="s">
        <v>11</v>
      </c>
      <c r="C46" t="str" s="2">
        <f>HYPERLINK("https://www.enginatics.com/reports/ar-open-items-revaluation","AR Open Items Revaluation")</f>
        <v>AR Open Items Revaluation</v>
      </c>
      <c r="D46" t="str" s="2">
        <f>HYPERLINK("https://www.enginatics.com/example/ar-open-items-revaluation","AR Open Items Revaluation - Default 11-Oct-2023 030916.xlsx")</f>
        <v>AR Open Items Revaluation - Default 11-Oct-2023 030916.xlsx</v>
      </c>
      <c r="E46" t="s">
        <v>307</v>
      </c>
      <c r="F46" t="s">
        <v>308</v>
      </c>
    </row>
    <row r="47" spans="1:6" x14ac:dyDescent="0.2">
      <c r="A47" t="s">
        <v>219</v>
      </c>
      <c r="B47" t="s">
        <v>11</v>
      </c>
      <c r="C47" t="str" s="2">
        <f>HYPERLINK("https://www.enginatics.com/reports/ar-past-due-invoice","AR Past Due Invoice")</f>
        <v>AR Past Due Invoice</v>
      </c>
      <c r="D47" t="str" s="2">
        <f>HYPERLINK("https://www.enginatics.com/example/ar-past-due-invoice","AR Past Due Invoice - demo 1 16-Jun-2025 182210.xlsx")</f>
        <v>AR Past Due Invoice - demo 1 16-Jun-2025 182210.xlsx</v>
      </c>
      <c r="E47" t="s">
        <v>309</v>
      </c>
      <c r="F47" t="s">
        <v>310</v>
      </c>
    </row>
    <row r="48" spans="1:6" x14ac:dyDescent="0.2">
      <c r="A48" t="s">
        <v>219</v>
      </c>
      <c r="B48" t="s">
        <v>11</v>
      </c>
      <c r="C48" t="str" s="2">
        <f>HYPERLINK("https://www.enginatics.com/reports/ar-payment-terms","AR Payment Terms")</f>
        <v>AR Payment Terms</v>
      </c>
      <c r="D48" t="str" s="2">
        <f>HYPERLINK("https://www.enginatics.com/example/ar-payment-terms","AR Payment Terms 24-Jul-2017 144054.xlsx")</f>
        <v>AR Payment Terms 24-Jul-2017 144054.xlsx</v>
      </c>
      <c r="E48" t="s">
        <v>311</v>
      </c>
      <c r="F48" t="s">
        <v>312</v>
      </c>
    </row>
    <row r="49" spans="1:6" x14ac:dyDescent="0.2">
      <c r="A49" t="s">
        <v>219</v>
      </c>
      <c r="B49" t="s">
        <v>11</v>
      </c>
      <c r="C49" t="str" s="2">
        <f>HYPERLINK("https://www.enginatics.com/reports/ar-receipt-register","AR Receipt Register")</f>
        <v>AR Receipt Register</v>
      </c>
      <c r="D49" t="str" s="2">
        <f>HYPERLINK("https://www.enginatics.com/example/ar-receipt-register","AR Receipt Register - Default Detail 01-Feb-2023 120010.xlsx")</f>
        <v>AR Receipt Register - Default Detail 01-Feb-2023 120010.xlsx</v>
      </c>
      <c r="E49" t="s">
        <v>313</v>
      </c>
      <c r="F49" t="s">
        <v>314</v>
      </c>
    </row>
    <row r="50" spans="1:6" x14ac:dyDescent="0.2">
      <c r="A50" t="s">
        <v>219</v>
      </c>
      <c r="B50" t="s">
        <v>11</v>
      </c>
      <c r="C50" t="str" s="2">
        <f>HYPERLINK("https://www.enginatics.com/reports/ar-sales-journal-by-customer","AR Sales Journal By Customer")</f>
        <v>AR Sales Journal By Customer</v>
      </c>
      <c r="D50" t="str" s="2">
        <f>HYPERLINK("https://www.enginatics.com/example/ar-sales-journal-by-customer","AR Sales Journal By Customer - Default 06-Nov-2023 041650.xlsx")</f>
        <v>AR Sales Journal By Customer - Default 06-Nov-2023 041650.xlsx</v>
      </c>
      <c r="E50" t="s">
        <v>315</v>
      </c>
      <c r="F50" t="s">
        <v>316</v>
      </c>
    </row>
    <row r="51" spans="1:6" x14ac:dyDescent="0.2">
      <c r="A51" t="s">
        <v>219</v>
      </c>
      <c r="B51" t="s">
        <v>11</v>
      </c>
      <c r="C51" t="str" s="2">
        <f>HYPERLINK("https://www.enginatics.com/reports/ar-transaction-register","AR Transaction Register")</f>
        <v>AR Transaction Register</v>
      </c>
      <c r="D51" t="str" s="2">
        <f>HYPERLINK("https://www.enginatics.com/example/ar-transaction-register","AR Transaction Register 13-Oct-2020 235506.xlsx")</f>
        <v>AR Transaction Register 13-Oct-2020 235506.xlsx</v>
      </c>
      <c r="E51" t="s">
        <v>317</v>
      </c>
      <c r="F51" t="s">
        <v>318</v>
      </c>
    </row>
    <row r="52" spans="1:6" x14ac:dyDescent="0.2">
      <c r="A52" t="s">
        <v>219</v>
      </c>
      <c r="B52" t="s">
        <v>11</v>
      </c>
      <c r="C52" t="str" s="2">
        <f>HYPERLINK("https://www.enginatics.com/reports/ar-transaction-types","AR Transaction Types")</f>
        <v>AR Transaction Types</v>
      </c>
      <c r="D52" t="str" s="2">
        <f>HYPERLINK("https://www.enginatics.com/example/ar-transaction-types","AR Transaction Types 21-Aug-2025 223301.xlsx")</f>
        <v>AR Transaction Types 21-Aug-2025 223301.xlsx</v>
      </c>
      <c r="E52" t="s">
        <v>319</v>
      </c>
      <c r="F52" t="s">
        <v>320</v>
      </c>
    </row>
    <row r="53" spans="1:6" x14ac:dyDescent="0.2">
      <c r="A53" t="s">
        <v>219</v>
      </c>
      <c r="B53" t="s">
        <v>11</v>
      </c>
      <c r="C53" t="str" s="2">
        <f>HYPERLINK("https://www.enginatics.com/reports/ar-transactions-and-lines","AR Transactions and Lines")</f>
        <v>AR Transactions and Lines</v>
      </c>
      <c r="D53" t="str" s="2">
        <f>HYPERLINK("https://www.enginatics.com/example/ar-transactions-and-lines","AR Transactions and Lines 20-Jan-2019 115611.xlsx")</f>
        <v>AR Transactions and Lines 20-Jan-2019 115611.xlsx</v>
      </c>
      <c r="E53" t="s">
        <v>321</v>
      </c>
      <c r="F53" t="s">
        <v>322</v>
      </c>
    </row>
    <row r="54" spans="1:6" x14ac:dyDescent="0.2">
      <c r="A54" t="s">
        <v>219</v>
      </c>
      <c r="B54" t="s">
        <v>11</v>
      </c>
      <c r="C54" t="str" s="2">
        <f>HYPERLINK("https://www.enginatics.com/reports/ar-transactions-and-payments","AR Transactions and Payments")</f>
        <v>AR Transactions and Payments</v>
      </c>
      <c r="D54" t="str" s="2">
        <f>HYPERLINK("https://www.enginatics.com/example/ar-transactions-and-payments","AR Transactions and Payments 04-Oct-2021 211221.xlsx")</f>
        <v>AR Transactions and Payments 04-Oct-2021 211221.xlsx</v>
      </c>
      <c r="E54" t="s">
        <v>323</v>
      </c>
      <c r="F54" t="s">
        <v>324</v>
      </c>
    </row>
    <row r="55" spans="1:6" x14ac:dyDescent="0.2">
      <c r="A55" t="s">
        <v>219</v>
      </c>
      <c r="B55" t="s">
        <v>11</v>
      </c>
      <c r="C55" t="str" s="2">
        <f>HYPERLINK("https://www.enginatics.com/reports/ar-unaccounted-transaction-sweep","AR Unaccounted Transaction Sweep")</f>
        <v>AR Unaccounted Transaction Sweep</v>
      </c>
      <c r="E55" t="s">
        <v>325</v>
      </c>
      <c r="F55" t="s">
        <v>326</v>
      </c>
    </row>
    <row r="56" spans="1:6" x14ac:dyDescent="0.2">
      <c r="A56" t="s">
        <v>219</v>
      </c>
      <c r="B56" t="s">
        <v>11</v>
      </c>
      <c r="C56" t="str" s="2">
        <f>HYPERLINK("https://www.enginatics.com/reports/ar-unapplied-receipts-register","AR Unapplied Receipts Register")</f>
        <v>AR Unapplied Receipts Register</v>
      </c>
      <c r="D56" t="str" s="2">
        <f>HYPERLINK("https://www.enginatics.com/example/ar-unapplied-receipts-register","AR Unapplied Receipts Register 18-Jul-2023 085905.xlsx")</f>
        <v>AR Unapplied Receipts Register 18-Jul-2023 085905.xlsx</v>
      </c>
      <c r="E56" t="s">
        <v>327</v>
      </c>
      <c r="F56" t="s">
        <v>328</v>
      </c>
    </row>
    <row r="57" spans="1:6" x14ac:dyDescent="0.2">
      <c r="A57" t="s">
        <v>219</v>
      </c>
      <c r="B57" t="s">
        <v>11</v>
      </c>
      <c r="C57" t="str" s="2">
        <f>HYPERLINK("https://www.enginatics.com/reports/ar-to-gl-reconciliation","AR to GL Reconciliation")</f>
        <v>AR to GL Reconciliation</v>
      </c>
      <c r="D57" t="str" s="2">
        <f>HYPERLINK("https://www.enginatics.com/example/ar-to-gl-reconciliation","AR to GL Reconciliation - Default 18-Oct-2023 042217.xlsx")</f>
        <v>AR to GL Reconciliation - Default 18-Oct-2023 042217.xlsx</v>
      </c>
      <c r="E57" t="s">
        <v>329</v>
      </c>
      <c r="F57" t="s">
        <v>330</v>
      </c>
    </row>
    <row r="58" spans="1:6" x14ac:dyDescent="0.2">
      <c r="A58" t="s">
        <v>219</v>
      </c>
      <c r="B58" t="s">
        <v>20</v>
      </c>
      <c r="C58" t="str" s="2">
        <f>HYPERLINK("https://www.enginatics.com/reports/bom-bill-of-material-structure","BOM Bill of Material Structure")</f>
        <v>BOM Bill of Material Structure</v>
      </c>
      <c r="D58" t="str" s="2">
        <f>HYPERLINK("https://www.enginatics.com/example/bom-bill-of-material-structure","BOM Bill of Material Structure - Bill of Material Structure Report 10-Oct-2025 143544.xlsx")</f>
        <v>BOM Bill of Material Structure - Bill of Material Structure Report 10-Oct-2025 143544.xlsx</v>
      </c>
      <c r="E58" t="s">
        <v>331</v>
      </c>
      <c r="F58" t="s">
        <v>332</v>
      </c>
    </row>
    <row r="59" spans="1:6" x14ac:dyDescent="0.2">
      <c r="A59" t="s">
        <v>219</v>
      </c>
      <c r="B59" t="s">
        <v>20</v>
      </c>
      <c r="C59" t="str" s="2">
        <f>HYPERLINK("https://www.enginatics.com/reports/bom-calendar-exceptions","BOM Calendar Exceptions")</f>
        <v>BOM Calendar Exceptions</v>
      </c>
      <c r="D59" t="str" s="2">
        <f>HYPERLINK("https://www.enginatics.com/example/bom-calendar-exceptions","BOM Calendar Exceptions 20-Jan-2019 120149.xlsx")</f>
        <v>BOM Calendar Exceptions 20-Jan-2019 120149.xlsx</v>
      </c>
      <c r="E59" t="s">
        <v>333</v>
      </c>
      <c r="F59" t="s">
        <v>334</v>
      </c>
    </row>
    <row r="60" spans="1:6" x14ac:dyDescent="0.2">
      <c r="A60" t="s">
        <v>219</v>
      </c>
      <c r="B60" t="s">
        <v>20</v>
      </c>
      <c r="C60" t="str" s="2">
        <f>HYPERLINK("https://www.enginatics.com/reports/bom-calendars","BOM Calendars")</f>
        <v>BOM Calendars</v>
      </c>
      <c r="D60" t="str" s="2">
        <f>HYPERLINK("https://www.enginatics.com/example/bom-calendars","BOM Calendars 04-Apr-2026 123137.xlsx")</f>
        <v>BOM Calendars 04-Apr-2026 123137.xlsx</v>
      </c>
      <c r="E60" t="s">
        <v>335</v>
      </c>
      <c r="F60" t="s">
        <v>336</v>
      </c>
    </row>
    <row r="61" spans="1:6" x14ac:dyDescent="0.2">
      <c r="A61" t="s">
        <v>219</v>
      </c>
      <c r="B61" t="s">
        <v>20</v>
      </c>
      <c r="C61" t="str" s="2">
        <f>HYPERLINK("https://www.enginatics.com/reports/bom-item-where-used-gui","BOM Item Where Used GUI")</f>
        <v>BOM Item Where Used GUI</v>
      </c>
      <c r="E61" t="s">
        <v>337</v>
      </c>
      <c r="F61" t="s">
        <v>338</v>
      </c>
    </row>
    <row r="62" spans="1:6" x14ac:dyDescent="0.2">
      <c r="A62" t="s">
        <v>219</v>
      </c>
      <c r="B62" t="s">
        <v>20</v>
      </c>
      <c r="C62" t="str" s="2">
        <f>HYPERLINK("https://www.enginatics.com/reports/bom-routings","BOM Routings")</f>
        <v>BOM Routings</v>
      </c>
      <c r="D62" t="str" s="2">
        <f>HYPERLINK("https://www.enginatics.com/example/bom-routings","BOM Routings 02-Oct-2020 090608.xlsx")</f>
        <v>BOM Routings 02-Oct-2020 090608.xlsx</v>
      </c>
      <c r="E62" t="s">
        <v>339</v>
      </c>
      <c r="F62" t="s">
        <v>340</v>
      </c>
    </row>
    <row r="63" spans="1:6" x14ac:dyDescent="0.2">
      <c r="A63" t="s">
        <v>219</v>
      </c>
      <c r="B63" t="s">
        <v>27</v>
      </c>
      <c r="C63" t="str" s="2">
        <f>HYPERLINK("https://www.enginatics.com/reports/blitz-report-add-in-environment-setup","Blitz Report Add-in Environment Setup")</f>
        <v>Blitz Report Add-in Environment Setup</v>
      </c>
      <c r="E63" t="s">
        <v>341</v>
      </c>
      <c r="F63" t="s">
        <v>342</v>
      </c>
    </row>
    <row r="64" spans="1:6" x14ac:dyDescent="0.2">
      <c r="A64" t="s">
        <v>219</v>
      </c>
      <c r="B64" t="s">
        <v>27</v>
      </c>
      <c r="C64" t="str" s="2">
        <f>HYPERLINK("https://www.enginatics.com/reports/blitz-report-application-categories","Blitz Report Application Categories")</f>
        <v>Blitz Report Application Categories</v>
      </c>
      <c r="D64" t="str" s="2">
        <f>HYPERLINK("https://www.enginatics.com/example/blitz-report-application-categories","Blitz Report Application Categories 18-Jan-2018 225804.xlsx")</f>
        <v>Blitz Report Application Categories 18-Jan-2018 225804.xlsx</v>
      </c>
      <c r="E64" t="s">
        <v>343</v>
      </c>
      <c r="F64" t="s">
        <v>344</v>
      </c>
    </row>
    <row r="65" spans="1:6" x14ac:dyDescent="0.2">
      <c r="A65" t="s">
        <v>219</v>
      </c>
      <c r="B65" t="s">
        <v>27</v>
      </c>
      <c r="C65" t="str" s="2">
        <f>HYPERLINK("https://www.enginatics.com/reports/blitz-report-assignment-validation","Blitz Report Assignment Validation")</f>
        <v>Blitz Report Assignment Validation</v>
      </c>
      <c r="E65" t="s">
        <v>345</v>
      </c>
      <c r="F65" t="s">
        <v>346</v>
      </c>
    </row>
    <row r="66" spans="1:6" x14ac:dyDescent="0.2">
      <c r="A66" t="s">
        <v>219</v>
      </c>
      <c r="B66" t="s">
        <v>27</v>
      </c>
      <c r="C66" t="str" s="2">
        <f>HYPERLINK("https://www.enginatics.com/reports/blitz-report-assignments","Blitz Report Assignments")</f>
        <v>Blitz Report Assignments</v>
      </c>
      <c r="D66" t="str" s="2">
        <f>HYPERLINK("https://www.enginatics.com/example/blitz-report-assignments","Blitz Report Assignments 26-Dec-2021 185157.xlsx")</f>
        <v>Blitz Report Assignments 26-Dec-2021 185157.xlsx</v>
      </c>
      <c r="F66" t="s">
        <v>347</v>
      </c>
    </row>
    <row r="67" spans="1:6" x14ac:dyDescent="0.2">
      <c r="A67" t="s">
        <v>219</v>
      </c>
      <c r="B67" t="s">
        <v>27</v>
      </c>
      <c r="C67" t="str" s="2">
        <f>HYPERLINK("https://www.enginatics.com/reports/blitz-report-assignments-and-responsibilities","Blitz Report Assignments and Responsibilities")</f>
        <v>Blitz Report Assignments and Responsibilities</v>
      </c>
      <c r="D67" t="str" s="2">
        <f>HYPERLINK("https://www.enginatics.com/example/blitz-report-assignments-and-responsibilities","Blitz Report Assignments and Responsibilities 14-Oct-2023 123917.xlsx")</f>
        <v>Blitz Report Assignments and Responsibilities 14-Oct-2023 123917.xlsx</v>
      </c>
      <c r="E67" t="s">
        <v>348</v>
      </c>
      <c r="F67" t="s">
        <v>349</v>
      </c>
    </row>
    <row r="68" spans="1:6" x14ac:dyDescent="0.2">
      <c r="A68" t="s">
        <v>219</v>
      </c>
      <c r="B68" t="s">
        <v>27</v>
      </c>
      <c r="C68" t="str" s="2">
        <f>HYPERLINK("https://www.enginatics.com/reports/blitz-report-category-assignments","Blitz Report Category Assignments")</f>
        <v>Blitz Report Category Assignments</v>
      </c>
      <c r="D68" t="str" s="2">
        <f>HYPERLINK("https://www.enginatics.com/example/blitz-report-category-assignments","Blitz Report Category Assignments 04-Apr-2026 123137.xlsx")</f>
        <v>Blitz Report Category Assignments 04-Apr-2026 123137.xlsx</v>
      </c>
      <c r="F68" t="s">
        <v>350</v>
      </c>
    </row>
    <row r="69" spans="1:6" x14ac:dyDescent="0.2">
      <c r="A69" t="s">
        <v>219</v>
      </c>
      <c r="B69" t="s">
        <v>27</v>
      </c>
      <c r="C69" t="str" s="2">
        <f>HYPERLINK("https://www.enginatics.com/reports/blitz-report-column-number-fomat-comparison-between-environments","Blitz Report Column Number Fomat Comparison between environments")</f>
        <v>Blitz Report Column Number Fomat Comparison between environments</v>
      </c>
      <c r="E69" t="s">
        <v>351</v>
      </c>
      <c r="F69" t="s">
        <v>352</v>
      </c>
    </row>
    <row r="70" spans="1:6" x14ac:dyDescent="0.2">
      <c r="A70" t="s">
        <v>219</v>
      </c>
      <c r="B70" t="s">
        <v>27</v>
      </c>
      <c r="C70" t="str" s="2">
        <f>HYPERLINK("https://www.enginatics.com/reports/blitz-report-column-translation-comparison-between-environments","Blitz Report Column Translation Comparison between environments")</f>
        <v>Blitz Report Column Translation Comparison between environments</v>
      </c>
      <c r="E70" t="s">
        <v>351</v>
      </c>
      <c r="F70" t="s">
        <v>353</v>
      </c>
    </row>
    <row r="71" spans="1:6" x14ac:dyDescent="0.2">
      <c r="A71" t="s">
        <v>219</v>
      </c>
      <c r="B71" t="s">
        <v>27</v>
      </c>
      <c r="C71" t="str" s="2">
        <f>HYPERLINK("https://www.enginatics.com/reports/blitz-report-column-translations","Blitz Report Column Translations")</f>
        <v>Blitz Report Column Translations</v>
      </c>
      <c r="D71" t="str" s="2">
        <f>HYPERLINK("https://www.enginatics.com/example/blitz-report-column-translations","Blitz Report Column Translations 04-Apr-2026 123137.xlsx")</f>
        <v>Blitz Report Column Translations 04-Apr-2026 123137.xlsx</v>
      </c>
      <c r="F71" t="s">
        <v>354</v>
      </c>
    </row>
    <row r="72" spans="1:6" x14ac:dyDescent="0.2">
      <c r="A72" t="s">
        <v>219</v>
      </c>
      <c r="B72" t="s">
        <v>27</v>
      </c>
      <c r="C72" t="str" s="2">
        <f>HYPERLINK("https://www.enginatics.com/reports/blitz-report-columns","Blitz Report Columns")</f>
        <v>Blitz Report Columns</v>
      </c>
      <c r="D72" t="str" s="2">
        <f>HYPERLINK("https://www.enginatics.com/example/blitz-report-columns","Blitz Report Columns 27-Feb-2026 050200.xlsx")</f>
        <v>Blitz Report Columns 27-Feb-2026 050200.xlsx</v>
      </c>
      <c r="E72" t="s">
        <v>355</v>
      </c>
      <c r="F72" t="s">
        <v>356</v>
      </c>
    </row>
    <row r="73" spans="1:6" x14ac:dyDescent="0.2">
      <c r="A73" t="s">
        <v>219</v>
      </c>
      <c r="B73" t="s">
        <v>27</v>
      </c>
      <c r="C73" t="str" s="2">
        <f>HYPERLINK("https://www.enginatics.com/reports/blitz-report-comparison-between-environments","Blitz Report Comparison between environments")</f>
        <v>Blitz Report Comparison between environments</v>
      </c>
      <c r="D73" t="str" s="2">
        <f>HYPERLINK("https://www.enginatics.com/example/blitz-report-comparison-between-environments","Blitz Report Comparison between environments 20-Feb-2024 002703.xlsx")</f>
        <v>Blitz Report Comparison between environments 20-Feb-2024 002703.xlsx</v>
      </c>
      <c r="E73" t="s">
        <v>357</v>
      </c>
      <c r="F73" t="s">
        <v>358</v>
      </c>
    </row>
    <row r="74" spans="1:6" x14ac:dyDescent="0.2">
      <c r="A74" t="s">
        <v>219</v>
      </c>
      <c r="B74" t="s">
        <v>27</v>
      </c>
      <c r="C74" t="str" s="2">
        <f>HYPERLINK("https://www.enginatics.com/reports/blitz-report-default-templates","Blitz Report Default Templates")</f>
        <v>Blitz Report Default Templates</v>
      </c>
      <c r="D74" t="str" s="2">
        <f>HYPERLINK("https://www.enginatics.com/example/blitz-report-default-templates","Blitz Report Default Templates 04-Apr-2026 123137.xlsx")</f>
        <v>Blitz Report Default Templates 04-Apr-2026 123137.xlsx</v>
      </c>
      <c r="F74" t="s">
        <v>359</v>
      </c>
    </row>
    <row r="75" spans="1:6" x14ac:dyDescent="0.2">
      <c r="A75" t="s">
        <v>219</v>
      </c>
      <c r="B75" t="s">
        <v>27</v>
      </c>
      <c r="C75" t="str" s="2">
        <f>HYPERLINK("https://www.enginatics.com/reports/blitz-report-deletion-history","Blitz Report Deletion History")</f>
        <v>Blitz Report Deletion History</v>
      </c>
      <c r="D75" t="str" s="2">
        <f>HYPERLINK("https://www.enginatics.com/example/blitz-report-deletion-history","Blitz Report Deletion History 03-Apr-2018 095214.xlsx")</f>
        <v>Blitz Report Deletion History 03-Apr-2018 095214.xlsx</v>
      </c>
      <c r="E75" t="s">
        <v>360</v>
      </c>
      <c r="F75" t="s">
        <v>361</v>
      </c>
    </row>
    <row r="76" spans="1:6" x14ac:dyDescent="0.2">
      <c r="A76" t="s">
        <v>219</v>
      </c>
      <c r="B76" t="s">
        <v>27</v>
      </c>
      <c r="C76" t="str" s="2">
        <f>HYPERLINK("https://www.enginatics.com/reports/blitz-report-dynamic-column-rules","Blitz Report Dynamic Column Rules")</f>
        <v>Blitz Report Dynamic Column Rules</v>
      </c>
      <c r="F76" t="s">
        <v>362</v>
      </c>
    </row>
    <row r="77" spans="1:6" x14ac:dyDescent="0.2">
      <c r="A77" t="s">
        <v>219</v>
      </c>
      <c r="B77" t="s">
        <v>27</v>
      </c>
      <c r="C77" t="str" s="2">
        <f>HYPERLINK("https://www.enginatics.com/reports/blitz-report-execution-summary","Blitz Report Execution Summary")</f>
        <v>Blitz Report Execution Summary</v>
      </c>
      <c r="D77" t="str" s="2">
        <f>HYPERLINK("https://www.enginatics.com/example/blitz-report-execution-summary","Blitz Report Execution Summary 24-Jul-2017 145940.xlsx")</f>
        <v>Blitz Report Execution Summary 24-Jul-2017 145940.xlsx</v>
      </c>
      <c r="E77" t="s">
        <v>363</v>
      </c>
      <c r="F77" t="s">
        <v>364</v>
      </c>
    </row>
    <row r="78" spans="1:6" x14ac:dyDescent="0.2">
      <c r="A78" t="s">
        <v>219</v>
      </c>
      <c r="B78" t="s">
        <v>27</v>
      </c>
      <c r="C78" t="str" s="2">
        <f>HYPERLINK("https://www.enginatics.com/reports/blitz-report-history","Blitz Report History")</f>
        <v>Blitz Report History</v>
      </c>
      <c r="E78" t="s">
        <v>365</v>
      </c>
      <c r="F78" t="s">
        <v>366</v>
      </c>
    </row>
    <row r="79" spans="1:6" x14ac:dyDescent="0.2">
      <c r="A79" t="s">
        <v>219</v>
      </c>
      <c r="B79" t="s">
        <v>27</v>
      </c>
      <c r="C79" t="str" s="2">
        <f>HYPERLINK("https://www.enginatics.com/reports/blitz-report-history-summary","Blitz Report History Summary")</f>
        <v>Blitz Report History Summary</v>
      </c>
      <c r="E79" t="s">
        <v>363</v>
      </c>
      <c r="F79" t="s">
        <v>367</v>
      </c>
    </row>
    <row r="80" spans="1:6" x14ac:dyDescent="0.2">
      <c r="A80" t="s">
        <v>219</v>
      </c>
      <c r="B80" t="s">
        <v>27</v>
      </c>
      <c r="C80" t="str" s="2">
        <f>HYPERLINK("https://www.enginatics.com/reports/blitz-report-lov-comparison-between-environments","Blitz Report LOV Comparison between environments")</f>
        <v>Blitz Report LOV Comparison between environments</v>
      </c>
      <c r="E80" t="s">
        <v>368</v>
      </c>
      <c r="F80" t="s">
        <v>369</v>
      </c>
    </row>
    <row r="81" spans="1:6" x14ac:dyDescent="0.2">
      <c r="A81" t="s">
        <v>219</v>
      </c>
      <c r="B81" t="s">
        <v>27</v>
      </c>
      <c r="C81" t="str" s="2">
        <f>HYPERLINK("https://www.enginatics.com/reports/blitz-report-lov-sql-validation","Blitz Report LOV SQL Validation")</f>
        <v>Blitz Report LOV SQL Validation</v>
      </c>
      <c r="D81" t="str" s="2">
        <f>HYPERLINK("https://www.enginatics.com/example/blitz-report-lov-sql-validation","Blitz Report LOV SQL Validation 04-Apr-2026 123137.xlsx")</f>
        <v>Blitz Report LOV SQL Validation 04-Apr-2026 123137.xlsx</v>
      </c>
      <c r="E81" t="s">
        <v>370</v>
      </c>
      <c r="F81" t="s">
        <v>371</v>
      </c>
    </row>
    <row r="82" spans="1:6" x14ac:dyDescent="0.2">
      <c r="A82" t="s">
        <v>219</v>
      </c>
      <c r="B82" t="s">
        <v>27</v>
      </c>
      <c r="C82" t="str" s="2">
        <f>HYPERLINK("https://www.enginatics.com/reports/blitz-report-lovs","Blitz Report LOVs")</f>
        <v>Blitz Report LOVs</v>
      </c>
      <c r="D82" t="str" s="2">
        <f>HYPERLINK("https://www.enginatics.com/example/blitz-report-lovs","Blitz Report LOVs 27-Jul-2018 212033.xlsx")</f>
        <v>Blitz Report LOVs 27-Jul-2018 212033.xlsx</v>
      </c>
      <c r="E82" t="s">
        <v>372</v>
      </c>
      <c r="F82" t="s">
        <v>373</v>
      </c>
    </row>
    <row r="83" spans="1:6" x14ac:dyDescent="0.2">
      <c r="A83" t="s">
        <v>219</v>
      </c>
      <c r="B83" t="s">
        <v>27</v>
      </c>
      <c r="C83" t="str" s="2">
        <f>HYPERLINK("https://www.enginatics.com/reports/blitz-report-license-user-history","Blitz Report License User History")</f>
        <v>Blitz Report License User History</v>
      </c>
      <c r="D83" t="str" s="2">
        <f>HYPERLINK("https://www.enginatics.com/example/blitz-report-license-user-history","Blitz Report License User History 15-Mar-2024 212941.xlsx")</f>
        <v>Blitz Report License User History 15-Mar-2024 212941.xlsx</v>
      </c>
      <c r="E83" t="s">
        <v>374</v>
      </c>
      <c r="F83" t="s">
        <v>375</v>
      </c>
    </row>
    <row r="84" spans="1:6" x14ac:dyDescent="0.2">
      <c r="A84" t="s">
        <v>219</v>
      </c>
      <c r="B84" t="s">
        <v>27</v>
      </c>
      <c r="C84" t="str" s="2">
        <f>HYPERLINK("https://www.enginatics.com/reports/blitz-report-license-users","Blitz Report License Users")</f>
        <v>Blitz Report License Users</v>
      </c>
      <c r="D84" t="str" s="2">
        <f>HYPERLINK("https://www.enginatics.com/example/blitz-report-license-users","Blitz Report License Users 24-Sep-2023 232317.xlsx")</f>
        <v>Blitz Report License Users 24-Sep-2023 232317.xlsx</v>
      </c>
      <c r="E84" t="s">
        <v>376</v>
      </c>
      <c r="F84" t="s">
        <v>377</v>
      </c>
    </row>
    <row r="85" spans="1:6" x14ac:dyDescent="0.2">
      <c r="A85" t="s">
        <v>219</v>
      </c>
      <c r="B85" t="s">
        <v>27</v>
      </c>
      <c r="C85" t="str" s="2">
        <f>HYPERLINK("https://www.enginatics.com/reports/blitz-report-parameter-anchor-validation","Blitz Report Parameter Anchor Validation")</f>
        <v>Blitz Report Parameter Anchor Validation</v>
      </c>
      <c r="D85" t="str" s="2">
        <f>HYPERLINK("https://www.enginatics.com/example/blitz-report-parameter-anchor-validation","Blitz Report Parameter Anchor Validation 04-Apr-2026 123137.xlsx")</f>
        <v>Blitz Report Parameter Anchor Validation 04-Apr-2026 123137.xlsx</v>
      </c>
      <c r="E85" t="s">
        <v>378</v>
      </c>
      <c r="F85" t="s">
        <v>379</v>
      </c>
    </row>
    <row r="86" spans="1:6" x14ac:dyDescent="0.2">
      <c r="A86" t="s">
        <v>219</v>
      </c>
      <c r="B86" t="s">
        <v>27</v>
      </c>
      <c r="C86" t="str" s="2">
        <f>HYPERLINK("https://www.enginatics.com/reports/blitz-report-parameter-bind-variable-validation","Blitz Report Parameter Bind Variable Validation")</f>
        <v>Blitz Report Parameter Bind Variable Validation</v>
      </c>
      <c r="D86" t="str" s="2">
        <f>HYPERLINK("https://www.enginatics.com/example/blitz-report-parameter-bind-variable-validation","Blitz Report Parameter Bind Variable Validation 04-Apr-2026 123137.xlsx")</f>
        <v>Blitz Report Parameter Bind Variable Validation 04-Apr-2026 123137.xlsx</v>
      </c>
      <c r="E86" t="s">
        <v>380</v>
      </c>
      <c r="F86" t="s">
        <v>381</v>
      </c>
    </row>
    <row r="87" spans="1:6" x14ac:dyDescent="0.2">
      <c r="A87" t="s">
        <v>219</v>
      </c>
      <c r="B87" t="s">
        <v>27</v>
      </c>
      <c r="C87" t="str" s="2">
        <f>HYPERLINK("https://www.enginatics.com/reports/blitz-report-parameter-comparison-between-environments","Blitz Report Parameter Comparison between environments")</f>
        <v>Blitz Report Parameter Comparison between environments</v>
      </c>
      <c r="E87" t="s">
        <v>382</v>
      </c>
      <c r="F87" t="s">
        <v>383</v>
      </c>
    </row>
    <row r="88" spans="1:6" x14ac:dyDescent="0.2">
      <c r="A88" t="s">
        <v>219</v>
      </c>
      <c r="B88" t="s">
        <v>27</v>
      </c>
      <c r="C88" t="str" s="2">
        <f>HYPERLINK("https://www.enginatics.com/reports/blitz-report-parameter-comparison-between-reports","Blitz Report Parameter Comparison between reports")</f>
        <v>Blitz Report Parameter Comparison between reports</v>
      </c>
      <c r="E88" t="s">
        <v>384</v>
      </c>
      <c r="F88" t="s">
        <v>385</v>
      </c>
    </row>
    <row r="89" spans="1:6" x14ac:dyDescent="0.2">
      <c r="A89" t="s">
        <v>219</v>
      </c>
      <c r="B89" t="s">
        <v>27</v>
      </c>
      <c r="C89" t="str" s="2">
        <f>HYPERLINK("https://www.enginatics.com/reports/blitz-report-parameter-custom-lov-duplication-validation","Blitz Report Parameter Custom LOV Duplication Validation")</f>
        <v>Blitz Report Parameter Custom LOV Duplication Validation</v>
      </c>
      <c r="D89" t="str" s="2">
        <f>HYPERLINK("https://www.enginatics.com/example/blitz-report-parameter-custom-lov-duplication-validation","Blitz Report Parameter Custom LOV Duplication Validation 04-Apr-2026 123137.xlsx")</f>
        <v>Blitz Report Parameter Custom LOV Duplication Validation 04-Apr-2026 123137.xlsx</v>
      </c>
      <c r="E89" t="s">
        <v>386</v>
      </c>
      <c r="F89" t="s">
        <v>387</v>
      </c>
    </row>
    <row r="90" spans="1:6" x14ac:dyDescent="0.2">
      <c r="A90" t="s">
        <v>219</v>
      </c>
      <c r="B90" t="s">
        <v>27</v>
      </c>
      <c r="C90" t="str" s="2">
        <f>HYPERLINK("https://www.enginatics.com/reports/blitz-report-parameter-dff-table-validation","Blitz Report Parameter DFF Table Validation")</f>
        <v>Blitz Report Parameter DFF Table Validation</v>
      </c>
      <c r="D90" t="str" s="2">
        <f>HYPERLINK("https://www.enginatics.com/example/blitz-report-parameter-dff-table-validation","Blitz Report Parameter DFF Table Validation 04-Apr-2026 123137.xlsx")</f>
        <v>Blitz Report Parameter DFF Table Validation 04-Apr-2026 123137.xlsx</v>
      </c>
      <c r="E90" t="s">
        <v>388</v>
      </c>
      <c r="F90" t="s">
        <v>389</v>
      </c>
    </row>
    <row r="91" spans="1:6" x14ac:dyDescent="0.2">
      <c r="A91" t="s">
        <v>219</v>
      </c>
      <c r="B91" t="s">
        <v>27</v>
      </c>
      <c r="C91" t="str" s="2">
        <f>HYPERLINK("https://www.enginatics.com/reports/blitz-report-parameter-default-values","Blitz Report Parameter Default Values")</f>
        <v>Blitz Report Parameter Default Values</v>
      </c>
      <c r="D91" t="str" s="2">
        <f>HYPERLINK("https://www.enginatics.com/example/blitz-report-parameter-default-values","Blitz Report Parameter Default Values 20-Jan-2019 120243.xlsx")</f>
        <v>Blitz Report Parameter Default Values 20-Jan-2019 120243.xlsx</v>
      </c>
      <c r="E91" t="s">
        <v>390</v>
      </c>
      <c r="F91" t="s">
        <v>391</v>
      </c>
    </row>
    <row r="92" spans="1:6" x14ac:dyDescent="0.2">
      <c r="A92" t="s">
        <v>219</v>
      </c>
      <c r="B92" t="s">
        <v>27</v>
      </c>
      <c r="C92" t="str" s="2">
        <f>HYPERLINK("https://www.enginatics.com/reports/blitz-report-parameter-dependencies","Blitz Report Parameter Dependencies")</f>
        <v>Blitz Report Parameter Dependencies</v>
      </c>
      <c r="D92" t="str" s="2">
        <f>HYPERLINK("https://www.enginatics.com/example/blitz-report-parameter-dependencies","Blitz Report Parameter Dependencies 04-Apr-2026 123137.xlsx")</f>
        <v>Blitz Report Parameter Dependencies 04-Apr-2026 123137.xlsx</v>
      </c>
      <c r="F92" t="s">
        <v>392</v>
      </c>
    </row>
    <row r="93" spans="1:6" x14ac:dyDescent="0.2">
      <c r="A93" t="s">
        <v>219</v>
      </c>
      <c r="B93" t="s">
        <v>27</v>
      </c>
      <c r="C93" t="str" s="2">
        <f>HYPERLINK("https://www.enginatics.com/reports/blitz-report-parameter-link-validation","Blitz Report Parameter Link Validation")</f>
        <v>Blitz Report Parameter Link Validation</v>
      </c>
      <c r="E93" t="s">
        <v>393</v>
      </c>
      <c r="F93" t="s">
        <v>394</v>
      </c>
    </row>
    <row r="94" spans="1:6" x14ac:dyDescent="0.2">
      <c r="A94" t="s">
        <v>219</v>
      </c>
      <c r="B94" t="s">
        <v>27</v>
      </c>
      <c r="C94" t="str" s="2">
        <f>HYPERLINK("https://www.enginatics.com/reports/blitz-report-parameter-table-alias-validation","Blitz Report Parameter Table Alias Validation")</f>
        <v>Blitz Report Parameter Table Alias Validation</v>
      </c>
      <c r="D94" t="str" s="2">
        <f>HYPERLINK("https://www.enginatics.com/example/blitz-report-parameter-table-alias-validation","Blitz Report Parameter Table Alias Validation 04-Apr-2026 123137.xlsx")</f>
        <v>Blitz Report Parameter Table Alias Validation 04-Apr-2026 123137.xlsx</v>
      </c>
      <c r="E94" t="s">
        <v>395</v>
      </c>
      <c r="F94" t="s">
        <v>396</v>
      </c>
    </row>
    <row r="95" spans="1:6" x14ac:dyDescent="0.2">
      <c r="A95" t="s">
        <v>219</v>
      </c>
      <c r="B95" t="s">
        <v>27</v>
      </c>
      <c r="C95" t="str" s="2">
        <f>HYPERLINK("https://www.enginatics.com/reports/blitz-report-parameter-uniqueness-validation","Blitz Report Parameter Uniqueness Validation")</f>
        <v>Blitz Report Parameter Uniqueness Validation</v>
      </c>
      <c r="D95" t="str" s="2">
        <f>HYPERLINK("https://www.enginatics.com/example/blitz-report-parameter-uniqueness-validation","Blitz Report Parameter Uniqueness Validation 04-Apr-2026 123137.xlsx")</f>
        <v>Blitz Report Parameter Uniqueness Validation 04-Apr-2026 123137.xlsx</v>
      </c>
      <c r="E95" t="s">
        <v>397</v>
      </c>
      <c r="F95" t="s">
        <v>398</v>
      </c>
    </row>
    <row r="96" spans="1:6" x14ac:dyDescent="0.2">
      <c r="A96" t="s">
        <v>219</v>
      </c>
      <c r="B96" t="s">
        <v>27</v>
      </c>
      <c r="C96" t="str" s="2">
        <f>HYPERLINK("https://www.enginatics.com/reports/blitz-report-pivot-colums-validation","Blitz Report Pivot Colums Validation")</f>
        <v>Blitz Report Pivot Colums Validation</v>
      </c>
      <c r="D96" t="str" s="2">
        <f>HYPERLINK("https://www.enginatics.com/example/blitz-report-pivot-colums-validation","Blitz Report Pivot Colums Validation 04-Apr-2026 123137.xlsx")</f>
        <v>Blitz Report Pivot Colums Validation 04-Apr-2026 123137.xlsx</v>
      </c>
      <c r="E96" t="s">
        <v>399</v>
      </c>
      <c r="F96" t="s">
        <v>400</v>
      </c>
    </row>
    <row r="97" spans="1:6" x14ac:dyDescent="0.2">
      <c r="A97" t="s">
        <v>219</v>
      </c>
      <c r="B97" t="s">
        <v>27</v>
      </c>
      <c r="C97" t="str" s="2">
        <f>HYPERLINK("https://www.enginatics.com/reports/blitz-report-rdf-import-validation","Blitz Report RDF Import Validation")</f>
        <v>Blitz Report RDF Import Validation</v>
      </c>
      <c r="D97" t="str" s="2">
        <f>HYPERLINK("https://www.enginatics.com/example/blitz-report-rdf-import-validation","Blitz Report RDF Import Validation 04-Apr-2026 123137.xlsx")</f>
        <v>Blitz Report RDF Import Validation 04-Apr-2026 123137.xlsx</v>
      </c>
      <c r="E97" t="s">
        <v>401</v>
      </c>
      <c r="F97" t="s">
        <v>402</v>
      </c>
    </row>
    <row r="98" spans="1:6" x14ac:dyDescent="0.2">
      <c r="A98" t="s">
        <v>219</v>
      </c>
      <c r="B98" t="s">
        <v>27</v>
      </c>
      <c r="C98" t="str" s="2">
        <f>HYPERLINK("https://www.enginatics.com/reports/blitz-report-record-history-sql-text-creation","Blitz Report Record History SQL Text Creation")</f>
        <v>Blitz Report Record History SQL Text Creation</v>
      </c>
      <c r="D98" t="str" s="2">
        <f>HYPERLINK("https://www.enginatics.com/example/blitz-report-record-history-sql-text-creation","Blitz Report Record History SQL Text Creation 04-Apr-2026 123137.xlsx")</f>
        <v>Blitz Report Record History SQL Text Creation 04-Apr-2026 123137.xlsx</v>
      </c>
      <c r="E98" t="s">
        <v>403</v>
      </c>
      <c r="F98" t="s">
        <v>404</v>
      </c>
    </row>
    <row r="99" spans="1:6" x14ac:dyDescent="0.2">
      <c r="A99" t="s">
        <v>219</v>
      </c>
      <c r="B99" t="s">
        <v>27</v>
      </c>
      <c r="C99" t="str" s="2">
        <f>HYPERLINK("https://www.enginatics.com/reports/blitz-report-sql-validation","Blitz Report SQL Validation")</f>
        <v>Blitz Report SQL Validation</v>
      </c>
      <c r="D99" t="str" s="2">
        <f>HYPERLINK("https://www.enginatics.com/example/blitz-report-sql-validation","Blitz Report SQL Validation - Default 10-Nov-2023 032554.xlsx")</f>
        <v>Blitz Report SQL Validation - Default 10-Nov-2023 032554.xlsx</v>
      </c>
      <c r="E99" t="s">
        <v>405</v>
      </c>
      <c r="F99" t="s">
        <v>406</v>
      </c>
    </row>
    <row r="100" spans="1:6" x14ac:dyDescent="0.2">
      <c r="A100" t="s">
        <v>219</v>
      </c>
      <c r="B100" t="s">
        <v>27</v>
      </c>
      <c r="C100" t="str" s="2">
        <f>HYPERLINK("https://www.enginatics.com/reports/blitz-report-security","Blitz Report Security")</f>
        <v>Blitz Report Security</v>
      </c>
      <c r="D100" t="str" s="2">
        <f>HYPERLINK("https://www.enginatics.com/example/blitz-report-security","Blitz Report Security 04-Apr-2026 123137.xlsx")</f>
        <v>Blitz Report Security 04-Apr-2026 123137.xlsx</v>
      </c>
      <c r="E100" t="s">
        <v>407</v>
      </c>
      <c r="F100" t="s">
        <v>408</v>
      </c>
    </row>
    <row r="101" spans="1:6" x14ac:dyDescent="0.2">
      <c r="A101" t="s">
        <v>219</v>
      </c>
      <c r="B101" t="s">
        <v>27</v>
      </c>
      <c r="C101" t="str" s="2">
        <f>HYPERLINK("https://www.enginatics.com/reports/blitz-report-template-sharing","Blitz Report Template Sharing")</f>
        <v>Blitz Report Template Sharing</v>
      </c>
      <c r="E101" t="s">
        <v>409</v>
      </c>
      <c r="F101" t="s">
        <v>410</v>
      </c>
    </row>
    <row r="102" spans="1:6" x14ac:dyDescent="0.2">
      <c r="A102" t="s">
        <v>219</v>
      </c>
      <c r="B102" t="s">
        <v>27</v>
      </c>
      <c r="C102" t="str" s="2">
        <f>HYPERLINK("https://www.enginatics.com/reports/blitz-report-templates","Blitz Report Templates")</f>
        <v>Blitz Report Templates</v>
      </c>
      <c r="D102" t="str" s="2">
        <f>HYPERLINK("https://www.enginatics.com/example/blitz-report-templates","Blitz Report Templates 24-Jan-2021 201835.xlsx")</f>
        <v>Blitz Report Templates 24-Jan-2021 201835.xlsx</v>
      </c>
      <c r="E102" t="s">
        <v>411</v>
      </c>
      <c r="F102" t="s">
        <v>412</v>
      </c>
    </row>
    <row r="103" spans="1:6" x14ac:dyDescent="0.2">
      <c r="A103" t="s">
        <v>219</v>
      </c>
      <c r="B103" t="s">
        <v>27</v>
      </c>
      <c r="C103" t="str" s="2">
        <f>HYPERLINK("https://www.enginatics.com/reports/blitz-report-text-search","Blitz Report Text Search")</f>
        <v>Blitz Report Text Search</v>
      </c>
      <c r="E103" t="s">
        <v>413</v>
      </c>
      <c r="F103" t="s">
        <v>414</v>
      </c>
    </row>
    <row r="104" spans="1:6" x14ac:dyDescent="0.2">
      <c r="A104" t="s">
        <v>219</v>
      </c>
      <c r="B104" t="s">
        <v>27</v>
      </c>
      <c r="C104" t="str" s="2">
        <f>HYPERLINK("https://www.enginatics.com/reports/blitz-report-translations","Blitz Report Translations")</f>
        <v>Blitz Report Translations</v>
      </c>
      <c r="D104" t="str" s="2">
        <f>HYPERLINK("https://www.enginatics.com/example/blitz-report-translations","Blitz Report Translations 04-Apr-2026 123137.xlsx")</f>
        <v>Blitz Report Translations 04-Apr-2026 123137.xlsx</v>
      </c>
      <c r="F104" t="s">
        <v>415</v>
      </c>
    </row>
    <row r="105" spans="1:6" x14ac:dyDescent="0.2">
      <c r="A105" t="s">
        <v>219</v>
      </c>
      <c r="B105" t="s">
        <v>27</v>
      </c>
      <c r="C105" t="str" s="2">
        <f>HYPERLINK("https://www.enginatics.com/reports/blitz-report-user-history","Blitz Report User History")</f>
        <v>Blitz Report User History</v>
      </c>
      <c r="D105" t="str" s="2">
        <f>HYPERLINK("https://www.enginatics.com/example/blitz-report-user-history","Blitz Report User History 10-Nov-2020 205738.xlsx")</f>
        <v>Blitz Report User History 10-Nov-2020 205738.xlsx</v>
      </c>
      <c r="E105" t="s">
        <v>416</v>
      </c>
      <c r="F105" t="s">
        <v>417</v>
      </c>
    </row>
    <row r="106" spans="1:6" x14ac:dyDescent="0.2">
      <c r="A106" t="s">
        <v>219</v>
      </c>
      <c r="B106" t="s">
        <v>27</v>
      </c>
      <c r="C106" t="str" s="2">
        <f>HYPERLINK("https://www.enginatics.com/reports/blitz-report-vpd-policy-setup","Blitz Report VPD Policy Setup")</f>
        <v>Blitz Report VPD Policy Setup</v>
      </c>
      <c r="D106" t="str" s="2">
        <f>HYPERLINK("https://www.enginatics.com/example/blitz-report-vpd-policy-setup","Blitz Report VPD Policy Setup 29-Jun-2020 135303.xlsx")</f>
        <v>Blitz Report VPD Policy Setup 29-Jun-2020 135303.xlsx</v>
      </c>
      <c r="E106" t="s">
        <v>418</v>
      </c>
      <c r="F106" t="s">
        <v>419</v>
      </c>
    </row>
    <row r="107" spans="1:6" x14ac:dyDescent="0.2">
      <c r="A107" t="s">
        <v>219</v>
      </c>
      <c r="B107" t="s">
        <v>27</v>
      </c>
      <c r="C107" t="str" s="2">
        <f>HYPERLINK("https://www.enginatics.com/reports/blitz-reports","Blitz Reports")</f>
        <v>Blitz Reports</v>
      </c>
      <c r="D107" t="str" s="2">
        <f>HYPERLINK("https://www.enginatics.com/example/blitz-reports","Blitz Reports 10-Aug-2020 140427.xlsx")</f>
        <v>Blitz Reports 10-Aug-2020 140427.xlsx</v>
      </c>
      <c r="E107" t="s">
        <v>420</v>
      </c>
      <c r="F107" t="s">
        <v>421</v>
      </c>
    </row>
    <row r="108" spans="1:6" x14ac:dyDescent="0.2">
      <c r="A108" t="s">
        <v>219</v>
      </c>
      <c r="B108" t="s">
        <v>27</v>
      </c>
      <c r="C108" t="str" s="2">
        <f>HYPERLINK("https://www.enginatics.com/reports/blitz-upload-data","Blitz Upload Data")</f>
        <v>Blitz Upload Data</v>
      </c>
      <c r="D108" t="str" s="2">
        <f>HYPERLINK("https://www.enginatics.com/example/blitz-upload-data","Blitz Upload Data 19-Jun-2025 063352.xlsx")</f>
        <v>Blitz Upload Data 19-Jun-2025 063352.xlsx</v>
      </c>
      <c r="E108" t="s">
        <v>422</v>
      </c>
      <c r="F108" t="s">
        <v>423</v>
      </c>
    </row>
    <row r="109" spans="1:6" x14ac:dyDescent="0.2">
      <c r="A109" t="s">
        <v>219</v>
      </c>
      <c r="B109" t="s">
        <v>27</v>
      </c>
      <c r="C109" t="str" s="2">
        <f>HYPERLINK("https://www.enginatics.com/reports/blitz-upload-dependencies","Blitz Upload Dependencies")</f>
        <v>Blitz Upload Dependencies</v>
      </c>
      <c r="D109" t="str" s="2">
        <f>HYPERLINK("https://www.enginatics.com/example/blitz-upload-dependencies","Blitz Upload Dependencies 04-Apr-2026 123137.xlsx")</f>
        <v>Blitz Upload Dependencies 04-Apr-2026 123137.xlsx</v>
      </c>
      <c r="F109" t="s">
        <v>424</v>
      </c>
    </row>
    <row r="110" spans="1:6" x14ac:dyDescent="0.2">
      <c r="A110" t="s">
        <v>219</v>
      </c>
      <c r="B110" t="s">
        <v>27</v>
      </c>
      <c r="C110" t="str" s="2">
        <f>HYPERLINK("https://www.enginatics.com/reports/blitz-upload-history","Blitz Upload History")</f>
        <v>Blitz Upload History</v>
      </c>
      <c r="D110" t="str" s="2">
        <f>HYPERLINK("https://www.enginatics.com/example/blitz-upload-history","Blitz Upload History 19-Jun-2025 063454.xlsx")</f>
        <v>Blitz Upload History 19-Jun-2025 063454.xlsx</v>
      </c>
      <c r="E110" t="s">
        <v>422</v>
      </c>
      <c r="F110" t="s">
        <v>425</v>
      </c>
    </row>
    <row r="111" spans="1:6" x14ac:dyDescent="0.2">
      <c r="A111" t="s">
        <v>219</v>
      </c>
      <c r="B111" t="s">
        <v>426</v>
      </c>
      <c r="C111" t="str" s="2">
        <f>HYPERLINK("https://www.enginatics.com/reports/cac-ap-accrual-accounts-setup","CAC AP Accrual Accounts Setup")</f>
        <v>CAC AP Accrual Accounts Setup</v>
      </c>
      <c r="E111" t="s">
        <v>427</v>
      </c>
      <c r="F111" t="s">
        <v>428</v>
      </c>
    </row>
    <row r="112" spans="1:6" x14ac:dyDescent="0.2">
      <c r="A112" t="s">
        <v>219</v>
      </c>
      <c r="B112" t="s">
        <v>426</v>
      </c>
      <c r="C112" t="str" s="2">
        <f>HYPERLINK("https://www.enginatics.com/reports/cac-ap-accrual-ir-iso-match-analysis","CAC AP Accrual IR ISO Match Analysis")</f>
        <v>CAC AP Accrual IR ISO Match Analysis</v>
      </c>
      <c r="E112" t="s">
        <v>429</v>
      </c>
      <c r="F112" t="s">
        <v>430</v>
      </c>
    </row>
    <row r="113" spans="1:6" x14ac:dyDescent="0.2">
      <c r="A113" t="s">
        <v>219</v>
      </c>
      <c r="B113" t="s">
        <v>426</v>
      </c>
      <c r="C113" t="str" s="2">
        <f>HYPERLINK("https://www.enginatics.com/reports/cac-ap-accrual-reconciliation-load-request","CAC AP Accrual Reconciliation Load Request")</f>
        <v>CAC AP Accrual Reconciliation Load Request</v>
      </c>
      <c r="E113" t="s">
        <v>431</v>
      </c>
      <c r="F113" t="s">
        <v>432</v>
      </c>
    </row>
    <row r="114" spans="1:6" x14ac:dyDescent="0.2">
      <c r="A114" t="s">
        <v>219</v>
      </c>
      <c r="B114" t="s">
        <v>426</v>
      </c>
      <c r="C114" t="str" s="2">
        <f>HYPERLINK("https://www.enginatics.com/reports/cac-ap-accrual-reconciliation-summary-by-match-type","CAC AP Accrual Reconciliation Summary by Match Type")</f>
        <v>CAC AP Accrual Reconciliation Summary by Match Type</v>
      </c>
      <c r="E114" t="s">
        <v>433</v>
      </c>
      <c r="F114" t="s">
        <v>434</v>
      </c>
    </row>
    <row r="115" spans="1:6" x14ac:dyDescent="0.2">
      <c r="A115" t="s">
        <v>219</v>
      </c>
      <c r="B115" t="s">
        <v>426</v>
      </c>
      <c r="C115" t="str" s="2">
        <f>HYPERLINK("https://www.enginatics.com/reports/cac-accounting-period-status","CAC Accounting Period Status")</f>
        <v>CAC Accounting Period Status</v>
      </c>
      <c r="D115" t="str" s="2">
        <f>HYPERLINK("https://www.enginatics.com/example/cac-accounting-period-status","CAC Accounting Period Status 23-Jun-2022 144348.xlsx")</f>
        <v>CAC Accounting Period Status 23-Jun-2022 144348.xlsx</v>
      </c>
      <c r="E115" t="s">
        <v>435</v>
      </c>
      <c r="F115" t="s">
        <v>436</v>
      </c>
    </row>
    <row r="116" spans="1:6" x14ac:dyDescent="0.2">
      <c r="A116" t="s">
        <v>219</v>
      </c>
      <c r="B116" t="s">
        <v>426</v>
      </c>
      <c r="C116" t="str" s="2">
        <f>HYPERLINK("https://www.enginatics.com/reports/cac-calculate-average-item-costs","CAC Calculate Average Item Costs")</f>
        <v>CAC Calculate Average Item Costs</v>
      </c>
      <c r="D116" t="str" s="2">
        <f>HYPERLINK("https://www.enginatics.com/example/cac-calculate-average-item-costs","CAC Calculate Average Item Costs 11-Dec-2022 114227.xlsx")</f>
        <v>CAC Calculate Average Item Costs 11-Dec-2022 114227.xlsx</v>
      </c>
      <c r="E116" t="s">
        <v>437</v>
      </c>
      <c r="F116" t="s">
        <v>438</v>
      </c>
    </row>
    <row r="117" spans="1:6" x14ac:dyDescent="0.2">
      <c r="A117" t="s">
        <v>219</v>
      </c>
      <c r="B117" t="s">
        <v>426</v>
      </c>
      <c r="C117" t="str" s="2">
        <f>HYPERLINK("https://www.enginatics.com/reports/cac-calculate-icp-pii-item-costs","CAC Calculate ICP PII Item Costs")</f>
        <v>CAC Calculate ICP PII Item Costs</v>
      </c>
      <c r="D117" t="str" s="2">
        <f>HYPERLINK("https://www.enginatics.com/example/cac-calculate-icp-pii-item-costs","CAC Calculate ICP PII Item Costs 26-Jun-2023 171332.xlsx")</f>
        <v>CAC Calculate ICP PII Item Costs 26-Jun-2023 171332.xlsx</v>
      </c>
      <c r="E117" t="s">
        <v>439</v>
      </c>
      <c r="F117" t="s">
        <v>440</v>
      </c>
    </row>
    <row r="118" spans="1:6" x14ac:dyDescent="0.2">
      <c r="A118" t="s">
        <v>219</v>
      </c>
      <c r="B118" t="s">
        <v>426</v>
      </c>
      <c r="C118" t="str" s="2">
        <f>HYPERLINK("https://www.enginatics.com/reports/cac-calculate-icp-pii-item-costs-by-where-used","CAC Calculate ICP PII Item Costs by Where Used")</f>
        <v>CAC Calculate ICP PII Item Costs by Where Used</v>
      </c>
      <c r="D118" t="str" s="2">
        <f>HYPERLINK("https://www.enginatics.com/example/cac-calculate-icp-pii-item-costs-by-where-used","CAC Calculate ICP PII Item Costs by Where Used 20-May-2023 Vision 021803.xlsx")</f>
        <v>CAC Calculate ICP PII Item Costs by Where Used 20-May-2023 Vision 021803.xlsx</v>
      </c>
      <c r="E118" t="s">
        <v>441</v>
      </c>
      <c r="F118" t="s">
        <v>442</v>
      </c>
    </row>
    <row r="119" spans="1:6" x14ac:dyDescent="0.2">
      <c r="A119" t="s">
        <v>219</v>
      </c>
      <c r="B119" t="s">
        <v>426</v>
      </c>
      <c r="C119" t="str" s="2">
        <f>HYPERLINK("https://www.enginatics.com/reports/cac-category-accounts-setup","CAC Category Accounts Setup")</f>
        <v>CAC Category Accounts Setup</v>
      </c>
      <c r="D119" t="str" s="2">
        <f>HYPERLINK("https://www.enginatics.com/example/cac-category-accounts-setup","CAC Category Accounts Setup 23-Jun-2022 144507.xlsx")</f>
        <v>CAC Category Accounts Setup 23-Jun-2022 144507.xlsx</v>
      </c>
      <c r="E119" t="s">
        <v>443</v>
      </c>
      <c r="F119" t="s">
        <v>444</v>
      </c>
    </row>
    <row r="120" spans="1:6" x14ac:dyDescent="0.2">
      <c r="A120" t="s">
        <v>219</v>
      </c>
      <c r="B120" t="s">
        <v>426</v>
      </c>
      <c r="C120" t="str" s="2">
        <f>HYPERLINK("https://www.enginatics.com/reports/cac-cost-group-accounts-setup","CAC Cost Group Accounts Setup")</f>
        <v>CAC Cost Group Accounts Setup</v>
      </c>
      <c r="D120" t="str" s="2">
        <f>HYPERLINK("https://www.enginatics.com/example/cac-cost-group-accounts-setup","CAC Cost Group Accounts Setup 04-Oct-2022 125021.xlsx")</f>
        <v>CAC Cost Group Accounts Setup 04-Oct-2022 125021.xlsx</v>
      </c>
      <c r="E120" t="s">
        <v>445</v>
      </c>
      <c r="F120" t="s">
        <v>446</v>
      </c>
    </row>
    <row r="121" spans="1:6" x14ac:dyDescent="0.2">
      <c r="A121" t="s">
        <v>219</v>
      </c>
      <c r="B121" t="s">
        <v>426</v>
      </c>
      <c r="C121" t="str" s="2">
        <f>HYPERLINK("https://www.enginatics.com/reports/cac-cost-type-costs-not-in-period-close-inventory-snapshot","CAC Cost Type Costs Not in Period Close Inventory Snapshot")</f>
        <v>CAC Cost Type Costs Not in Period Close Inventory Snapshot</v>
      </c>
      <c r="E121" t="s">
        <v>447</v>
      </c>
      <c r="F121" t="s">
        <v>448</v>
      </c>
    </row>
    <row r="122" spans="1:6" x14ac:dyDescent="0.2">
      <c r="A122" t="s">
        <v>219</v>
      </c>
      <c r="B122" t="s">
        <v>426</v>
      </c>
      <c r="C122" t="str" s="2">
        <f>HYPERLINK("https://www.enginatics.com/reports/cac-cost-vs-planning-item-controls","CAC Cost vs. Planning Item Controls")</f>
        <v>CAC Cost vs. Planning Item Controls</v>
      </c>
      <c r="D122" t="str" s="2">
        <f>HYPERLINK("https://www.enginatics.com/example/cac-cost-vs-planning-item-controls","CAC Cost vs. Planning Item Controls 23-Jun-2022 145141.xlsx")</f>
        <v>CAC Cost vs. Planning Item Controls 23-Jun-2022 145141.xlsx</v>
      </c>
      <c r="E122" t="s">
        <v>449</v>
      </c>
      <c r="F122" t="s">
        <v>450</v>
      </c>
    </row>
    <row r="123" spans="1:6" x14ac:dyDescent="0.2">
      <c r="A123" t="s">
        <v>219</v>
      </c>
      <c r="B123" t="s">
        <v>426</v>
      </c>
      <c r="C123" t="str" s="2">
        <f>HYPERLINK("https://www.enginatics.com/reports/cac-deferred-cogs-out-of-balance","CAC Deferred COGS Out-of-Balance")</f>
        <v>CAC Deferred COGS Out-of-Balance</v>
      </c>
      <c r="D123" t="str" s="2">
        <f>HYPERLINK("https://www.enginatics.com/example/cac-deferred-cogs-out-of-balance","CAC Deferred COGS Out-of-Balance 23-Jun-2022 135858.xlsx")</f>
        <v>CAC Deferred COGS Out-of-Balance 23-Jun-2022 135858.xlsx</v>
      </c>
      <c r="E123" t="s">
        <v>451</v>
      </c>
      <c r="F123" t="s">
        <v>452</v>
      </c>
    </row>
    <row r="124" spans="1:6" x14ac:dyDescent="0.2">
      <c r="A124" t="s">
        <v>219</v>
      </c>
      <c r="B124" t="s">
        <v>426</v>
      </c>
      <c r="C124" t="str" s="2">
        <f>HYPERLINK("https://www.enginatics.com/reports/cac-department-overhead-rates","CAC Department Overhead Rates")</f>
        <v>CAC Department Overhead Rates</v>
      </c>
      <c r="D124" t="str" s="2">
        <f>HYPERLINK("https://www.enginatics.com/example/cac-department-overhead-rates","CAC Department Overhead Rates 23-Jun-2022 145254.xlsx")</f>
        <v>CAC Department Overhead Rates 23-Jun-2022 145254.xlsx</v>
      </c>
      <c r="E124" t="s">
        <v>453</v>
      </c>
      <c r="F124" t="s">
        <v>454</v>
      </c>
    </row>
    <row r="125" spans="1:6" x14ac:dyDescent="0.2">
      <c r="A125" t="s">
        <v>219</v>
      </c>
      <c r="B125" t="s">
        <v>426</v>
      </c>
      <c r="C125" t="str" s="2">
        <f>HYPERLINK("https://www.enginatics.com/reports/cac-department-overhead-setup","CAC Department Overhead Setup")</f>
        <v>CAC Department Overhead Setup</v>
      </c>
      <c r="D125" t="str" s="2">
        <f>HYPERLINK("https://www.enginatics.com/example/cac-department-overhead-setup","CAC Department Overhead Setup 23-Jun-2022 145432.xlsx")</f>
        <v>CAC Department Overhead Setup 23-Jun-2022 145432.xlsx</v>
      </c>
      <c r="E125" t="s">
        <v>455</v>
      </c>
      <c r="F125" t="s">
        <v>456</v>
      </c>
    </row>
    <row r="126" spans="1:6" x14ac:dyDescent="0.2">
      <c r="A126" t="s">
        <v>219</v>
      </c>
      <c r="B126" t="s">
        <v>426</v>
      </c>
      <c r="C126" t="str" s="2">
        <f>HYPERLINK("https://www.enginatics.com/reports/cac-department-overhead-setup-errors","CAC Department Overhead Setup Errors")</f>
        <v>CAC Department Overhead Setup Errors</v>
      </c>
      <c r="D126" t="str" s="2">
        <f>HYPERLINK("https://www.enginatics.com/example/cac-department-overhead-setup-errors","CAC Department Overhead Setup Errors 23-Jun-2022 145628.xlsx")</f>
        <v>CAC Department Overhead Setup Errors 23-Jun-2022 145628.xlsx</v>
      </c>
      <c r="E126" t="s">
        <v>457</v>
      </c>
      <c r="F126" t="s">
        <v>458</v>
      </c>
    </row>
    <row r="127" spans="1:6" x14ac:dyDescent="0.2">
      <c r="A127" t="s">
        <v>219</v>
      </c>
      <c r="B127" t="s">
        <v>426</v>
      </c>
      <c r="C127" t="str" s="2">
        <f>HYPERLINK("https://www.enginatics.com/reports/cac-icp-pii-inventory-pending-cost-adjustment","CAC ICP PII Inventory Pending Cost Adjustment")</f>
        <v>CAC ICP PII Inventory Pending Cost Adjustment</v>
      </c>
      <c r="D127" t="str" s="2">
        <f>HYPERLINK("https://www.enginatics.com/example/cac-icp-pii-inventory-pending-cost-adjustment","CAC ICP PII Inventory Pending Cost Adjustment 23-Jun-2022 152034.xlsx")</f>
        <v>CAC ICP PII Inventory Pending Cost Adjustment 23-Jun-2022 152034.xlsx</v>
      </c>
      <c r="E127" t="s">
        <v>459</v>
      </c>
      <c r="F127" t="s">
        <v>460</v>
      </c>
    </row>
    <row r="128" spans="1:6" x14ac:dyDescent="0.2">
      <c r="A128" t="s">
        <v>219</v>
      </c>
      <c r="B128" t="s">
        <v>426</v>
      </c>
      <c r="C128" t="str" s="2">
        <f>HYPERLINK("https://www.enginatics.com/reports/cac-icp-pii-inventory-and-intransit-value-period-end","CAC ICP PII Inventory and Intransit Value (Period-End)")</f>
        <v>CAC ICP PII Inventory and Intransit Value (Period-End)</v>
      </c>
      <c r="D128" t="str" s="2">
        <f>HYPERLINK("https://www.enginatics.com/example/cac-icp-pii-inventory-and-intransit-value-period-end","CAC ICP PII Inventory and Intransit Value (Period-End) - Pivot by Org 21-Oct-2022 201233.xlsx")</f>
        <v>CAC ICP PII Inventory and Intransit Value (Period-End) - Pivot by Org 21-Oct-2022 201233.xlsx</v>
      </c>
      <c r="E128" t="s">
        <v>461</v>
      </c>
      <c r="F128" t="s">
        <v>462</v>
      </c>
    </row>
    <row r="129" spans="1:6" x14ac:dyDescent="0.2">
      <c r="A129" t="s">
        <v>219</v>
      </c>
      <c r="B129" t="s">
        <v>426</v>
      </c>
      <c r="C129" t="str" s="2">
        <f>HYPERLINK("https://www.enginatics.com/reports/cac-icp-pii-item-cost-summary","CAC ICP PII Item Cost Summary")</f>
        <v>CAC ICP PII Item Cost Summary</v>
      </c>
      <c r="D129" t="str" s="2">
        <f>HYPERLINK("https://www.enginatics.com/example/cac-icp-pii-item-cost-summary","CAC ICP PII Item Cost Summary 07-Jul-2022 143147.xlsx")</f>
        <v>CAC ICP PII Item Cost Summary 07-Jul-2022 143147.xlsx</v>
      </c>
      <c r="E129" t="s">
        <v>463</v>
      </c>
      <c r="F129" t="s">
        <v>464</v>
      </c>
    </row>
    <row r="130" spans="1:6" x14ac:dyDescent="0.2">
      <c r="A130" t="s">
        <v>219</v>
      </c>
      <c r="B130" t="s">
        <v>426</v>
      </c>
      <c r="C130" t="str" s="2">
        <f>HYPERLINK("https://www.enginatics.com/reports/cac-icp-pii-material-account-detail","CAC ICP PII Material Account Detail")</f>
        <v>CAC ICP PII Material Account Detail</v>
      </c>
      <c r="D130" t="str" s="2">
        <f>HYPERLINK("https://www.enginatics.com/example/cac-icp-pii-material-account-detail","CAC ICP PII Material Account Detail 14-Oct-2022 070903.xlsx")</f>
        <v>CAC ICP PII Material Account Detail 14-Oct-2022 070903.xlsx</v>
      </c>
      <c r="E130" t="s">
        <v>465</v>
      </c>
      <c r="F130" t="s">
        <v>466</v>
      </c>
    </row>
    <row r="131" spans="1:6" x14ac:dyDescent="0.2">
      <c r="A131" t="s">
        <v>219</v>
      </c>
      <c r="B131" t="s">
        <v>426</v>
      </c>
      <c r="C131" t="str" s="2">
        <f>HYPERLINK("https://www.enginatics.com/reports/cac-icp-pii-material-account-summary","CAC ICP PII Material Account Summary")</f>
        <v>CAC ICP PII Material Account Summary</v>
      </c>
      <c r="D131" t="str" s="2">
        <f>HYPERLINK("https://www.enginatics.com/example/cac-icp-pii-material-account-summary","CAC ICP PII Material Account Summary - Pivot by Org 16-Oct-2022 163618.xlsx")</f>
        <v>CAC ICP PII Material Account Summary - Pivot by Org 16-Oct-2022 163618.xlsx</v>
      </c>
      <c r="E131" t="s">
        <v>467</v>
      </c>
      <c r="F131" t="s">
        <v>468</v>
      </c>
    </row>
    <row r="132" spans="1:6" x14ac:dyDescent="0.2">
      <c r="A132" t="s">
        <v>219</v>
      </c>
      <c r="B132" t="s">
        <v>426</v>
      </c>
      <c r="C132" t="str" s="2">
        <f>HYPERLINK("https://www.enginatics.com/reports/cac-icp-pii-wip-material-usage-variance","CAC ICP PII WIP Material Usage Variance")</f>
        <v>CAC ICP PII WIP Material Usage Variance</v>
      </c>
      <c r="D132" t="str" s="2">
        <f>HYPERLINK("https://www.enginatics.com/example/cac-icp-pii-wip-material-usage-variance","CAC ICP PII WIP Material Usage Variance 23-Jun-2022 155150.xlsx")</f>
        <v>CAC ICP PII WIP Material Usage Variance 23-Jun-2022 155150.xlsx</v>
      </c>
      <c r="E132" t="s">
        <v>469</v>
      </c>
      <c r="F132" t="s">
        <v>470</v>
      </c>
    </row>
    <row r="133" spans="1:6" x14ac:dyDescent="0.2">
      <c r="A133" t="s">
        <v>219</v>
      </c>
      <c r="B133" t="s">
        <v>426</v>
      </c>
      <c r="C133" t="str" s="2">
        <f>HYPERLINK("https://www.enginatics.com/reports/cac-icp-pii-wip-pending-cost-adjustment","CAC ICP PII WIP Pending Cost Adjustment")</f>
        <v>CAC ICP PII WIP Pending Cost Adjustment</v>
      </c>
      <c r="D133" t="str" s="2">
        <f>HYPERLINK("https://www.enginatics.com/example/cac-icp-pii-wip-pending-cost-adjustment","CAC ICP PII WIP Pending Cost Adjustment 23-Jun-2022 155341.xlsx")</f>
        <v>CAC ICP PII WIP Pending Cost Adjustment 23-Jun-2022 155341.xlsx</v>
      </c>
      <c r="E133" t="s">
        <v>471</v>
      </c>
      <c r="F133" t="s">
        <v>472</v>
      </c>
    </row>
    <row r="134" spans="1:6" x14ac:dyDescent="0.2">
      <c r="A134" t="s">
        <v>219</v>
      </c>
      <c r="B134" t="s">
        <v>426</v>
      </c>
      <c r="C134" t="str" s="2">
        <f>HYPERLINK("https://www.enginatics.com/reports/cac-icp-pii-vs-item-costs","CAC ICP PII vs. Item Costs")</f>
        <v>CAC ICP PII vs. Item Costs</v>
      </c>
      <c r="D134" t="str" s="2">
        <f>HYPERLINK("https://www.enginatics.com/example/cac-icp-pii-vs-item-costs","CAC ICP PII vs. Item Costs 03-Sep-2022 232153.xlsx")</f>
        <v>CAC ICP PII vs. Item Costs 03-Sep-2022 232153.xlsx</v>
      </c>
      <c r="E134" t="s">
        <v>473</v>
      </c>
      <c r="F134" t="s">
        <v>474</v>
      </c>
    </row>
    <row r="135" spans="1:6" x14ac:dyDescent="0.2">
      <c r="A135" t="s">
        <v>219</v>
      </c>
      <c r="B135" t="s">
        <v>426</v>
      </c>
      <c r="C135" t="str" s="2">
        <f>HYPERLINK("https://www.enginatics.com/reports/cac-inactive-items-set-to-roll-up","CAC Inactive Items Set to Roll Up")</f>
        <v>CAC Inactive Items Set to Roll Up</v>
      </c>
      <c r="E135" t="s">
        <v>475</v>
      </c>
      <c r="F135" t="s">
        <v>476</v>
      </c>
    </row>
    <row r="136" spans="1:6" x14ac:dyDescent="0.2">
      <c r="A136" t="s">
        <v>219</v>
      </c>
      <c r="B136" t="s">
        <v>426</v>
      </c>
      <c r="C136" t="str" s="2">
        <f>HYPERLINK("https://www.enginatics.com/reports/cac-intercompany-relationship-setup","CAC Intercompany Relationship Setup")</f>
        <v>CAC Intercompany Relationship Setup</v>
      </c>
      <c r="D136" t="str" s="2">
        <f>HYPERLINK("https://www.enginatics.com/example/cac-intercompany-relationship-setup","CAC Intercompany Relationship Setup 23-Jun-2022 155938.xlsx")</f>
        <v>CAC Intercompany Relationship Setup 23-Jun-2022 155938.xlsx</v>
      </c>
      <c r="E136" t="s">
        <v>477</v>
      </c>
      <c r="F136" t="s">
        <v>478</v>
      </c>
    </row>
    <row r="137" spans="1:6" x14ac:dyDescent="0.2">
      <c r="A137" t="s">
        <v>219</v>
      </c>
      <c r="B137" t="s">
        <v>426</v>
      </c>
      <c r="C137" t="str" s="2">
        <f>HYPERLINK("https://www.enginatics.com/reports/cac-intercompany-so-price-list","CAC Intercompany SO Price List")</f>
        <v>CAC Intercompany SO Price List</v>
      </c>
      <c r="D137" t="str" s="2">
        <f>HYPERLINK("https://www.enginatics.com/example/cac-intercompany-so-price-list","CAC Intercompany SO Price List 08-Jul-2022 221636.xlsx")</f>
        <v>CAC Intercompany SO Price List 08-Jul-2022 221636.xlsx</v>
      </c>
      <c r="E137" t="s">
        <v>479</v>
      </c>
      <c r="F137" t="s">
        <v>480</v>
      </c>
    </row>
    <row r="138" spans="1:6" x14ac:dyDescent="0.2">
      <c r="A138" t="s">
        <v>219</v>
      </c>
      <c r="B138" t="s">
        <v>426</v>
      </c>
      <c r="C138" t="str" s="2">
        <f>HYPERLINK("https://www.enginatics.com/reports/cac-intercompany-so-price-list-vs-item-cost-comparison","CAC Intercompany SO Price List vs. Item Cost Comparison")</f>
        <v>CAC Intercompany SO Price List vs. Item Cost Comparison</v>
      </c>
      <c r="D138" t="str" s="2">
        <f>HYPERLINK("https://www.enginatics.com/example/cac-intercompany-so-price-list-vs-item-cost-comparison","CAC Intercompany SO Price List vs. Item Cost Comparison 11-Jul-2022 140147.xlsx")</f>
        <v>CAC Intercompany SO Price List vs. Item Cost Comparison 11-Jul-2022 140147.xlsx</v>
      </c>
      <c r="E138" t="s">
        <v>481</v>
      </c>
      <c r="F138" t="s">
        <v>482</v>
      </c>
    </row>
    <row r="139" spans="1:6" x14ac:dyDescent="0.2">
      <c r="A139" t="s">
        <v>219</v>
      </c>
      <c r="B139" t="s">
        <v>426</v>
      </c>
      <c r="C139" t="str" s="2">
        <f>HYPERLINK("https://www.enginatics.com/reports/cac-intercompany-so-shipping-transaction-vs-invoice-price","CAC Intercompany SO Shipping Transaction vs. Invoice Price")</f>
        <v>CAC Intercompany SO Shipping Transaction vs. Invoice Price</v>
      </c>
      <c r="D139" t="str" s="2">
        <f>HYPERLINK("https://www.enginatics.com/example/cac-intercompany-so-shipping-transaction-vs-invoice-price","CAC Intercompany SO Shipping Transaction vs. Invoice Price 10-Jul-2022 224012.xlsx")</f>
        <v>CAC Intercompany SO Shipping Transaction vs. Invoice Price 10-Jul-2022 224012.xlsx</v>
      </c>
      <c r="E139" t="s">
        <v>483</v>
      </c>
      <c r="F139" t="s">
        <v>484</v>
      </c>
    </row>
    <row r="140" spans="1:6" x14ac:dyDescent="0.2">
      <c r="A140" t="s">
        <v>219</v>
      </c>
      <c r="B140" t="s">
        <v>426</v>
      </c>
      <c r="C140" t="str" s="2">
        <f>HYPERLINK("https://www.enginatics.com/reports/cac-interface-error-summary","CAC Interface Error Summary")</f>
        <v>CAC Interface Error Summary</v>
      </c>
      <c r="D140" t="str" s="2">
        <f>HYPERLINK("https://www.enginatics.com/example/cac-interface-error-summary","CAC Interface Error Summary 04-Apr-2026 123137.xlsx")</f>
        <v>CAC Interface Error Summary 04-Apr-2026 123137.xlsx</v>
      </c>
      <c r="E140" t="s">
        <v>485</v>
      </c>
      <c r="F140" t="s">
        <v>486</v>
      </c>
    </row>
    <row r="141" spans="1:6" x14ac:dyDescent="0.2">
      <c r="A141" t="s">
        <v>219</v>
      </c>
      <c r="B141" t="s">
        <v>426</v>
      </c>
      <c r="C141" t="str" s="2">
        <f>HYPERLINK("https://www.enginatics.com/reports/cac-internal-order-shipment-margin","CAC Internal Order Shipment Margin")</f>
        <v>CAC Internal Order Shipment Margin</v>
      </c>
      <c r="D141" t="str" s="2">
        <f>HYPERLINK("https://www.enginatics.com/example/cac-internal-order-shipment-margin","CAC Internal Order Shipment Margin 23-Jun-2022 160407.xlsx")</f>
        <v>CAC Internal Order Shipment Margin 23-Jun-2022 160407.xlsx</v>
      </c>
      <c r="E141" t="s">
        <v>487</v>
      </c>
      <c r="F141" t="s">
        <v>488</v>
      </c>
    </row>
    <row r="142" spans="1:6" x14ac:dyDescent="0.2">
      <c r="A142" t="s">
        <v>219</v>
      </c>
      <c r="B142" t="s">
        <v>426</v>
      </c>
      <c r="C142" t="str" s="2">
        <f>HYPERLINK("https://www.enginatics.com/reports/cac-intransit-value-real-time","CAC Intransit Value (Real-Time)")</f>
        <v>CAC Intransit Value (Real-Time)</v>
      </c>
      <c r="D142" t="str" s="2">
        <f>HYPERLINK("https://www.enginatics.com/example/cac-intransit-value-real-time","CAC Intransit Value (Real-Time) 23-Jun-2022 160746.xlsx")</f>
        <v>CAC Intransit Value (Real-Time) 23-Jun-2022 160746.xlsx</v>
      </c>
      <c r="E142" t="s">
        <v>489</v>
      </c>
      <c r="F142" t="s">
        <v>490</v>
      </c>
    </row>
    <row r="143" spans="1:6" x14ac:dyDescent="0.2">
      <c r="A143" t="s">
        <v>219</v>
      </c>
      <c r="B143" t="s">
        <v>426</v>
      </c>
      <c r="C143" t="str" s="2">
        <f>HYPERLINK("https://www.enginatics.com/reports/cac-inventory-account-alias-setup","CAC Inventory Account Alias Setup")</f>
        <v>CAC Inventory Account Alias Setup</v>
      </c>
      <c r="D143" t="str" s="2">
        <f>HYPERLINK("https://www.enginatics.com/example/cac-inventory-account-alias-setup","CAC Inventory Account Alias Setup 23-Jun-2022 160834.xlsx")</f>
        <v>CAC Inventory Account Alias Setup 23-Jun-2022 160834.xlsx</v>
      </c>
      <c r="E143" t="s">
        <v>491</v>
      </c>
      <c r="F143" t="s">
        <v>492</v>
      </c>
    </row>
    <row r="144" spans="1:6" x14ac:dyDescent="0.2">
      <c r="A144" t="s">
        <v>219</v>
      </c>
      <c r="B144" t="s">
        <v>426</v>
      </c>
      <c r="C144" t="str" s="2">
        <f>HYPERLINK("https://www.enginatics.com/reports/cac-inventory-accounts-setup","CAC Inventory Accounts Setup")</f>
        <v>CAC Inventory Accounts Setup</v>
      </c>
      <c r="D144" t="str" s="2">
        <f>HYPERLINK("https://www.enginatics.com/example/cac-inventory-accounts-setup","CAC Inventory Accounts Setup 07-Jul-2022 143822.xlsx")</f>
        <v>CAC Inventory Accounts Setup 07-Jul-2022 143822.xlsx</v>
      </c>
      <c r="E144" t="s">
        <v>493</v>
      </c>
      <c r="F144" t="s">
        <v>494</v>
      </c>
    </row>
    <row r="145" spans="1:6" x14ac:dyDescent="0.2">
      <c r="A145" t="s">
        <v>219</v>
      </c>
      <c r="B145" t="s">
        <v>426</v>
      </c>
      <c r="C145" t="str" s="2">
        <f>HYPERLINK("https://www.enginatics.com/reports/cac-inventory-lot-and-locator-opm-value-period-end","CAC Inventory Lot and Locator OPM Value (Period-End)")</f>
        <v>CAC Inventory Lot and Locator OPM Value (Period-End)</v>
      </c>
      <c r="E145" t="s">
        <v>495</v>
      </c>
      <c r="F145" t="s">
        <v>496</v>
      </c>
    </row>
    <row r="146" spans="1:6" x14ac:dyDescent="0.2">
      <c r="A146" t="s">
        <v>219</v>
      </c>
      <c r="B146" t="s">
        <v>426</v>
      </c>
      <c r="C146" t="str" s="2">
        <f>HYPERLINK("https://www.enginatics.com/reports/cac-inventory-organization-summary","CAC Inventory Organization Summary")</f>
        <v>CAC Inventory Organization Summary</v>
      </c>
      <c r="D146" t="str" s="2">
        <f>HYPERLINK("https://www.enginatics.com/example/cac-inventory-organization-summary","CAC Inventory Organization Summary 19-Oct-2022 172501.xlsx")</f>
        <v>CAC Inventory Organization Summary 19-Oct-2022 172501.xlsx</v>
      </c>
      <c r="E146" t="s">
        <v>497</v>
      </c>
      <c r="F146" t="s">
        <v>498</v>
      </c>
    </row>
    <row r="147" spans="1:6" x14ac:dyDescent="0.2">
      <c r="A147" t="s">
        <v>219</v>
      </c>
      <c r="B147" t="s">
        <v>426</v>
      </c>
      <c r="C147" t="str" s="2">
        <f>HYPERLINK("https://www.enginatics.com/reports/cac-inventory-out-of-balance","CAC Inventory Out-of-Balance")</f>
        <v>CAC Inventory Out-of-Balance</v>
      </c>
      <c r="D147" t="str" s="2">
        <f>HYPERLINK("https://www.enginatics.com/example/cac-inventory-out-of-balance","CAC Inventory Out-of-Balance 23-Jun-2022 162234.xlsx")</f>
        <v>CAC Inventory Out-of-Balance 23-Jun-2022 162234.xlsx</v>
      </c>
      <c r="E147" t="s">
        <v>499</v>
      </c>
      <c r="F147" t="s">
        <v>500</v>
      </c>
    </row>
    <row r="148" spans="1:6" x14ac:dyDescent="0.2">
      <c r="A148" t="s">
        <v>219</v>
      </c>
      <c r="B148" t="s">
        <v>426</v>
      </c>
      <c r="C148" t="str" s="2">
        <f>HYPERLINK("https://www.enginatics.com/reports/cac-inventory-pending-cost-adjustment","CAC Inventory Pending Cost Adjustment")</f>
        <v>CAC Inventory Pending Cost Adjustment</v>
      </c>
      <c r="D148" t="str" s="2">
        <f>HYPERLINK("https://www.enginatics.com/example/cac-inventory-pending-cost-adjustment","CAC Inventory Pending Cost Adjustment 23-Jun-2022 162333.xlsx")</f>
        <v>CAC Inventory Pending Cost Adjustment 23-Jun-2022 162333.xlsx</v>
      </c>
      <c r="E148" t="s">
        <v>501</v>
      </c>
      <c r="F148" t="s">
        <v>502</v>
      </c>
    </row>
    <row r="149" spans="1:6" x14ac:dyDescent="0.2">
      <c r="A149" t="s">
        <v>219</v>
      </c>
      <c r="B149" t="s">
        <v>426</v>
      </c>
      <c r="C149" t="str" s="2">
        <f>HYPERLINK("https://www.enginatics.com/reports/cac-inventory-pending-cost-adjustment-no-currencies","CAC Inventory Pending Cost Adjustment - No Currencies")</f>
        <v>CAC Inventory Pending Cost Adjustment - No Currencies</v>
      </c>
      <c r="E149" t="s">
        <v>503</v>
      </c>
      <c r="F149" t="s">
        <v>504</v>
      </c>
    </row>
    <row r="150" spans="1:6" x14ac:dyDescent="0.2">
      <c r="A150" t="s">
        <v>219</v>
      </c>
      <c r="B150" t="s">
        <v>426</v>
      </c>
      <c r="C150" t="str" s="2">
        <f>HYPERLINK("https://www.enginatics.com/reports/cac-inventory-periods-not-closed-or-summarized","CAC Inventory Periods Not Closed or Summarized")</f>
        <v>CAC Inventory Periods Not Closed or Summarized</v>
      </c>
      <c r="D150" t="str" s="2">
        <f>HYPERLINK("https://www.enginatics.com/example/cac-inventory-periods-not-closed-or-summarized","CAC Inventory Periods Not Closed or Summarized 23-Jun-2022 162437.xlsx")</f>
        <v>CAC Inventory Periods Not Closed or Summarized 23-Jun-2022 162437.xlsx</v>
      </c>
      <c r="E150" t="s">
        <v>505</v>
      </c>
      <c r="F150" t="s">
        <v>506</v>
      </c>
    </row>
    <row r="151" spans="1:6" x14ac:dyDescent="0.2">
      <c r="A151" t="s">
        <v>219</v>
      </c>
      <c r="B151" t="s">
        <v>426</v>
      </c>
      <c r="C151" t="str" s="2">
        <f>HYPERLINK("https://www.enginatics.com/reports/cac-inventory-and-intransit-value-period-end","CAC Inventory and Intransit Value (Period-End)")</f>
        <v>CAC Inventory and Intransit Value (Period-End)</v>
      </c>
      <c r="D151" t="str" s="2">
        <f>HYPERLINK("https://www.enginatics.com/example/cac-inventory-and-intransit-value-period-end","CAC Inventory and Intransit Value (Period-End) - Discrete OPM - Pivot by Org 02-Aug-2024 142029.xlsx")</f>
        <v>CAC Inventory and Intransit Value (Period-End) - Discrete OPM - Pivot by Org 02-Aug-2024 142029.xlsx</v>
      </c>
      <c r="E151" t="s">
        <v>507</v>
      </c>
      <c r="F151" t="s">
        <v>508</v>
      </c>
    </row>
    <row r="152" spans="1:6" x14ac:dyDescent="0.2">
      <c r="A152" t="s">
        <v>219</v>
      </c>
      <c r="B152" t="s">
        <v>426</v>
      </c>
      <c r="C152" t="str" s="2">
        <f>HYPERLINK("https://www.enginatics.com/reports/cac-inventory-and-intransit-value-period-end-discrete-opm","CAC Inventory and Intransit Value (Period-End) - Discrete/OPM")</f>
        <v>CAC Inventory and Intransit Value (Period-End) - Discrete/OPM</v>
      </c>
      <c r="D152" t="str" s="2">
        <f>HYPERLINK("https://www.enginatics.com/example/cac-inventory-and-intransit-value-period-end-discrete-opm","CAC Inventory and Intransit Value (Period-End) - Discrete OPM - Pivot by Org 02-Aug-2024 142029.xlsx")</f>
        <v>CAC Inventory and Intransit Value (Period-End) - Discrete OPM - Pivot by Org 02-Aug-2024 142029.xlsx</v>
      </c>
      <c r="E152" t="s">
        <v>509</v>
      </c>
      <c r="F152" t="s">
        <v>510</v>
      </c>
    </row>
    <row r="153" spans="1:6" x14ac:dyDescent="0.2">
      <c r="A153" t="s">
        <v>219</v>
      </c>
      <c r="B153" t="s">
        <v>426</v>
      </c>
      <c r="C153" t="str" s="2">
        <f>HYPERLINK("https://www.enginatics.com/reports/cac-inventory-to-g-l-reconciliation-restricted-by-org-access","CAC Inventory to G/L Reconciliation (Restricted by Org Access)")</f>
        <v>CAC Inventory to G/L Reconciliation (Restricted by Org Access)</v>
      </c>
      <c r="D153" t="str" s="2">
        <f>HYPERLINK("https://www.enginatics.com/example/cac-inventory-to-g-l-reconciliation-restricted-by-org-access","CAC Inventory to G L Reconciliation (Restricted by Org Access) 07-Jul-2022 144051.xlsx")</f>
        <v>CAC Inventory to G L Reconciliation (Restricted by Org Access) 07-Jul-2022 144051.xlsx</v>
      </c>
      <c r="E153" t="s">
        <v>511</v>
      </c>
      <c r="F153" t="s">
        <v>512</v>
      </c>
    </row>
    <row r="154" spans="1:6" x14ac:dyDescent="0.2">
      <c r="A154" t="s">
        <v>219</v>
      </c>
      <c r="B154" t="s">
        <v>426</v>
      </c>
      <c r="C154" t="str" s="2">
        <f>HYPERLINK("https://www.enginatics.com/reports/cac-inventory-to-g-l-reconciliation-unrestricted-by-org-access","CAC Inventory to G/L Reconciliation (Unrestricted by Org Access)")</f>
        <v>CAC Inventory to G/L Reconciliation (Unrestricted by Org Access)</v>
      </c>
      <c r="D154" t="str" s="2">
        <f>HYPERLINK("https://www.enginatics.com/example/cac-inventory-to-g-l-reconciliation-unrestricted-by-org-access","CAC Inventory to G L Reconciliation (Unrestricted by Org Access) 07-Jun-2020 015839.xlsx")</f>
        <v>CAC Inventory to G L Reconciliation (Unrestricted by Org Access) 07-Jun-2020 015839.xlsx</v>
      </c>
      <c r="E154" t="s">
        <v>513</v>
      </c>
      <c r="F154" t="s">
        <v>514</v>
      </c>
    </row>
    <row r="155" spans="1:6" x14ac:dyDescent="0.2">
      <c r="A155" t="s">
        <v>219</v>
      </c>
      <c r="B155" t="s">
        <v>426</v>
      </c>
      <c r="C155" t="str" s="2">
        <f>HYPERLINK("https://www.enginatics.com/reports/cac-invoice-price-variance","CAC Invoice Price Variance")</f>
        <v>CAC Invoice Price Variance</v>
      </c>
      <c r="D155" t="str" s="2">
        <f>HYPERLINK("https://www.enginatics.com/example/cac-invoice-price-variance","CAC Invoice Price Variance 07-Jul-2022 144732.xlsx")</f>
        <v>CAC Invoice Price Variance 07-Jul-2022 144732.xlsx</v>
      </c>
      <c r="E155" t="s">
        <v>515</v>
      </c>
      <c r="F155" t="s">
        <v>516</v>
      </c>
    </row>
    <row r="156" spans="1:6" x14ac:dyDescent="0.2">
      <c r="A156" t="s">
        <v>219</v>
      </c>
      <c r="B156" t="s">
        <v>426</v>
      </c>
      <c r="C156" t="str" s="2">
        <f>HYPERLINK("https://www.enginatics.com/reports/cac-item-cost-routing","CAC Item Cost &amp; Routing")</f>
        <v>CAC Item Cost &amp; Routing</v>
      </c>
      <c r="D156" t="str" s="2">
        <f>HYPERLINK("https://www.enginatics.com/example/cac-item-cost-routing","CAC Item Cost &amp; Routing 23-Jun-2022 163544.xlsx")</f>
        <v>CAC Item Cost &amp; Routing 23-Jun-2022 163544.xlsx</v>
      </c>
      <c r="E156" t="s">
        <v>517</v>
      </c>
      <c r="F156" t="s">
        <v>518</v>
      </c>
    </row>
    <row r="157" spans="1:6" x14ac:dyDescent="0.2">
      <c r="A157" t="s">
        <v>219</v>
      </c>
      <c r="B157" t="s">
        <v>426</v>
      </c>
      <c r="C157" t="str" s="2">
        <f>HYPERLINK("https://www.enginatics.com/reports/cac-item-cost-break-out-by-activity","CAC Item Cost Break-Out by Activity")</f>
        <v>CAC Item Cost Break-Out by Activity</v>
      </c>
      <c r="D157" t="str" s="2">
        <f>HYPERLINK("https://www.enginatics.com/example/cac-item-cost-break-out-by-activity","CAC Item Cost Break-Out by Activity 23-Jun-2022 201517.xlsx")</f>
        <v>CAC Item Cost Break-Out by Activity 23-Jun-2022 201517.xlsx</v>
      </c>
      <c r="E157" t="s">
        <v>519</v>
      </c>
      <c r="F157" t="s">
        <v>520</v>
      </c>
    </row>
    <row r="158" spans="1:6" x14ac:dyDescent="0.2">
      <c r="A158" t="s">
        <v>219</v>
      </c>
      <c r="B158" t="s">
        <v>426</v>
      </c>
      <c r="C158" t="str" s="2">
        <f>HYPERLINK("https://www.enginatics.com/reports/cac-item-cost-comparison","CAC Item Cost Comparison")</f>
        <v>CAC Item Cost Comparison</v>
      </c>
      <c r="D158" t="str" s="2">
        <f>HYPERLINK("https://www.enginatics.com/example/cac-item-cost-comparison","CAC Item Cost Comparison 23-Jun-2022 212444.xlsx")</f>
        <v>CAC Item Cost Comparison 23-Jun-2022 212444.xlsx</v>
      </c>
      <c r="E158" t="s">
        <v>521</v>
      </c>
      <c r="F158" t="s">
        <v>522</v>
      </c>
    </row>
    <row r="159" spans="1:6" x14ac:dyDescent="0.2">
      <c r="A159" t="s">
        <v>219</v>
      </c>
      <c r="B159" t="s">
        <v>426</v>
      </c>
      <c r="C159" t="str" s="2">
        <f>HYPERLINK("https://www.enginatics.com/reports/cac-item-cost-out-of-balance","CAC Item Cost Out-of-Balance")</f>
        <v>CAC Item Cost Out-of-Balance</v>
      </c>
      <c r="D159" t="str" s="2">
        <f>HYPERLINK("https://www.enginatics.com/example/cac-item-cost-out-of-balance","CAC Item Cost Out-of-Balance 23-Jun-2022 212720.xlsx")</f>
        <v>CAC Item Cost Out-of-Balance 23-Jun-2022 212720.xlsx</v>
      </c>
      <c r="E159" t="s">
        <v>523</v>
      </c>
      <c r="F159" t="s">
        <v>524</v>
      </c>
    </row>
    <row r="160" spans="1:6" x14ac:dyDescent="0.2">
      <c r="A160" t="s">
        <v>219</v>
      </c>
      <c r="B160" t="s">
        <v>426</v>
      </c>
      <c r="C160" t="str" s="2">
        <f>HYPERLINK("https://www.enginatics.com/reports/cac-item-cost-summary","CAC Item Cost Summary")</f>
        <v>CAC Item Cost Summary</v>
      </c>
      <c r="D160" t="str" s="2">
        <f>HYPERLINK("https://www.enginatics.com/example/cac-item-cost-summary","CAC Item Cost Summary 07-Jul-2022 150443.xlsx")</f>
        <v>CAC Item Cost Summary 07-Jul-2022 150443.xlsx</v>
      </c>
      <c r="E160" t="s">
        <v>525</v>
      </c>
      <c r="F160" t="s">
        <v>526</v>
      </c>
    </row>
    <row r="161" spans="1:6" x14ac:dyDescent="0.2">
      <c r="A161" t="s">
        <v>219</v>
      </c>
      <c r="B161" t="s">
        <v>426</v>
      </c>
      <c r="C161" t="str" s="2">
        <f>HYPERLINK("https://www.enginatics.com/reports/cac-item-list-price-vs-item-cost","CAC Item List Price vs. Item Cost")</f>
        <v>CAC Item List Price vs. Item Cost</v>
      </c>
      <c r="D161" t="str" s="2">
        <f>HYPERLINK("https://www.enginatics.com/example/cac-item-list-price-vs-item-cost","CAC Item List Price vs. Item Cost 24-Jun-2022 024533.xlsx")</f>
        <v>CAC Item List Price vs. Item Cost 24-Jun-2022 024533.xlsx</v>
      </c>
      <c r="E161" t="s">
        <v>527</v>
      </c>
      <c r="F161" t="s">
        <v>528</v>
      </c>
    </row>
    <row r="162" spans="1:6" x14ac:dyDescent="0.2">
      <c r="A162" t="s">
        <v>219</v>
      </c>
      <c r="B162" t="s">
        <v>426</v>
      </c>
      <c r="C162" t="str" s="2">
        <f>HYPERLINK("https://www.enginatics.com/reports/cac-item-master-accounts-setup","CAC Item Master Accounts Setup")</f>
        <v>CAC Item Master Accounts Setup</v>
      </c>
      <c r="D162" t="str" s="2">
        <f>HYPERLINK("https://www.enginatics.com/example/cac-item-master-accounts-setup","CAC Item Master Accounts Setup 26-Jun-2023 171002.xlsx")</f>
        <v>CAC Item Master Accounts Setup 26-Jun-2023 171002.xlsx</v>
      </c>
      <c r="E162" t="s">
        <v>529</v>
      </c>
      <c r="F162" t="s">
        <v>530</v>
      </c>
    </row>
    <row r="163" spans="1:6" x14ac:dyDescent="0.2">
      <c r="A163" t="s">
        <v>219</v>
      </c>
      <c r="B163" t="s">
        <v>426</v>
      </c>
      <c r="C163" t="str" s="2">
        <f>HYPERLINK("https://www.enginatics.com/reports/cac-item-vs-component-include-in-rollup-controls","CAC Item vs. Component Include in Rollup Controls")</f>
        <v>CAC Item vs. Component Include in Rollup Controls</v>
      </c>
      <c r="D163" t="str" s="2">
        <f>HYPERLINK("https://www.enginatics.com/example/cac-item-vs-component-include-in-rollup-controls","CAC Item vs. Component Include in Rollup Controls 24-Jun-2022 050039.xlsx")</f>
        <v>CAC Item vs. Component Include in Rollup Controls 24-Jun-2022 050039.xlsx</v>
      </c>
      <c r="E163" t="s">
        <v>531</v>
      </c>
      <c r="F163" t="s">
        <v>532</v>
      </c>
    </row>
    <row r="164" spans="1:6" x14ac:dyDescent="0.2">
      <c r="A164" t="s">
        <v>219</v>
      </c>
      <c r="B164" t="s">
        <v>426</v>
      </c>
      <c r="C164" t="str" s="2">
        <f>HYPERLINK("https://www.enginatics.com/reports/cac-items-without-this-level-material-overhead","CAC Items Without This Level Material Overhead")</f>
        <v>CAC Items Without This Level Material Overhead</v>
      </c>
      <c r="E164" t="s">
        <v>533</v>
      </c>
      <c r="F164" t="s">
        <v>534</v>
      </c>
    </row>
    <row r="165" spans="1:6" x14ac:dyDescent="0.2">
      <c r="A165" t="s">
        <v>219</v>
      </c>
      <c r="B165" t="s">
        <v>426</v>
      </c>
      <c r="C165" t="str" s="2">
        <f>HYPERLINK("https://www.enginatics.com/reports/cac-last-standard-item-cost","CAC Last Standard Item Cost")</f>
        <v>CAC Last Standard Item Cost</v>
      </c>
      <c r="E165" t="s">
        <v>535</v>
      </c>
      <c r="F165" t="s">
        <v>536</v>
      </c>
    </row>
    <row r="166" spans="1:6" x14ac:dyDescent="0.2">
      <c r="A166" t="s">
        <v>219</v>
      </c>
      <c r="B166" t="s">
        <v>426</v>
      </c>
      <c r="C166" t="str" s="2">
        <f>HYPERLINK("https://www.enginatics.com/reports/cac-load-more4apps-buy-item-costs","CAC Load More4Apps Buy Item Costs")</f>
        <v>CAC Load More4Apps Buy Item Costs</v>
      </c>
      <c r="D166" t="str" s="2">
        <f>HYPERLINK("https://www.enginatics.com/example/cac-load-more4apps-buy-item-costs","CAC Load More4Apps Buy Item Costs 24-Jun-2022 051540.xlsx")</f>
        <v>CAC Load More4Apps Buy Item Costs 24-Jun-2022 051540.xlsx</v>
      </c>
      <c r="E166" t="s">
        <v>537</v>
      </c>
      <c r="F166" t="s">
        <v>538</v>
      </c>
    </row>
    <row r="167" spans="1:6" x14ac:dyDescent="0.2">
      <c r="A167" t="s">
        <v>219</v>
      </c>
      <c r="B167" t="s">
        <v>426</v>
      </c>
      <c r="C167" t="str" s="2">
        <f>HYPERLINK("https://www.enginatics.com/reports/cac-manufacturing-variance","CAC Manufacturing Variance")</f>
        <v>CAC Manufacturing Variance</v>
      </c>
      <c r="E167" t="s">
        <v>539</v>
      </c>
      <c r="F167" t="s">
        <v>540</v>
      </c>
    </row>
    <row r="168" spans="1:6" x14ac:dyDescent="0.2">
      <c r="A168" t="s">
        <v>219</v>
      </c>
      <c r="B168" t="s">
        <v>426</v>
      </c>
      <c r="C168" t="str" s="2">
        <f>HYPERLINK("https://www.enginatics.com/reports/cac-margin-analysis-account-summary","CAC Margin Analysis Account Summary")</f>
        <v>CAC Margin Analysis Account Summary</v>
      </c>
      <c r="D168" t="str" s="2">
        <f>HYPERLINK("https://www.enginatics.com/example/cac-margin-analysis-account-summary","CAC Margin Analysis Account Summary 07-Jul-2022 151652.xlsx")</f>
        <v>CAC Margin Analysis Account Summary 07-Jul-2022 151652.xlsx</v>
      </c>
      <c r="E168" t="s">
        <v>541</v>
      </c>
      <c r="F168" t="s">
        <v>542</v>
      </c>
    </row>
    <row r="169" spans="1:6" x14ac:dyDescent="0.2">
      <c r="A169" t="s">
        <v>219</v>
      </c>
      <c r="B169" t="s">
        <v>426</v>
      </c>
      <c r="C169" t="str" s="2">
        <f>HYPERLINK("https://www.enginatics.com/reports/cac-margin-analysis-summary","CAC Margin Analysis Summary")</f>
        <v>CAC Margin Analysis Summary</v>
      </c>
      <c r="D169" t="str" s="2">
        <f>HYPERLINK("https://www.enginatics.com/example/cac-margin-analysis-summary","CAC Margin Analysis Summary 24-Jun-2022 063517.xlsx")</f>
        <v>CAC Margin Analysis Summary 24-Jun-2022 063517.xlsx</v>
      </c>
      <c r="E169" t="s">
        <v>543</v>
      </c>
      <c r="F169" t="s">
        <v>544</v>
      </c>
    </row>
    <row r="170" spans="1:6" x14ac:dyDescent="0.2">
      <c r="A170" t="s">
        <v>219</v>
      </c>
      <c r="B170" t="s">
        <v>426</v>
      </c>
      <c r="C170" t="str" s="2">
        <f>HYPERLINK("https://www.enginatics.com/reports/cac-material-account-alias-with-lot-numbers","CAC Material Account Alias with Lot Numbers")</f>
        <v>CAC Material Account Alias with Lot Numbers</v>
      </c>
      <c r="E170" t="s">
        <v>545</v>
      </c>
      <c r="F170" t="s">
        <v>546</v>
      </c>
    </row>
    <row r="171" spans="1:6" x14ac:dyDescent="0.2">
      <c r="A171" t="s">
        <v>219</v>
      </c>
      <c r="B171" t="s">
        <v>426</v>
      </c>
      <c r="C171" t="str" s="2">
        <f>HYPERLINK("https://www.enginatics.com/reports/cac-material-account-detail","CAC Material Account Detail")</f>
        <v>CAC Material Account Detail</v>
      </c>
      <c r="D171" t="str" s="2">
        <f>HYPERLINK("https://www.enginatics.com/example/cac-material-account-detail","CAC Material Account Detail 14-Oct-2022 070720.xlsx")</f>
        <v>CAC Material Account Detail 14-Oct-2022 070720.xlsx</v>
      </c>
      <c r="E171" t="s">
        <v>547</v>
      </c>
      <c r="F171" t="s">
        <v>548</v>
      </c>
    </row>
    <row r="172" spans="1:6" x14ac:dyDescent="0.2">
      <c r="A172" t="s">
        <v>219</v>
      </c>
      <c r="B172" t="s">
        <v>426</v>
      </c>
      <c r="C172" t="str" s="2">
        <f>HYPERLINK("https://www.enginatics.com/reports/cac-material-account-summary","CAC Material Account Summary")</f>
        <v>CAC Material Account Summary</v>
      </c>
      <c r="D172" t="str" s="2">
        <f>HYPERLINK("https://www.enginatics.com/example/cac-material-account-summary","CAC Material Account Summary - Pivot by Org 16-Oct-2022 165743.xlsx")</f>
        <v>CAC Material Account Summary - Pivot by Org 16-Oct-2022 165743.xlsx</v>
      </c>
      <c r="E172" t="s">
        <v>549</v>
      </c>
      <c r="F172" t="s">
        <v>550</v>
      </c>
    </row>
    <row r="173" spans="1:6" x14ac:dyDescent="0.2">
      <c r="A173" t="s">
        <v>219</v>
      </c>
      <c r="B173" t="s">
        <v>426</v>
      </c>
      <c r="C173" t="str" s="2">
        <f>HYPERLINK("https://www.enginatics.com/reports/cac-material-overhead-setup","CAC Material Overhead Setup")</f>
        <v>CAC Material Overhead Setup</v>
      </c>
      <c r="D173" t="str" s="2">
        <f>HYPERLINK("https://www.enginatics.com/example/cac-material-overhead-setup","CAC Material Overhead Setup 24-Jun-2022 080352.xlsx")</f>
        <v>CAC Material Overhead Setup 24-Jun-2022 080352.xlsx</v>
      </c>
      <c r="E173" t="s">
        <v>551</v>
      </c>
      <c r="F173" t="s">
        <v>552</v>
      </c>
    </row>
    <row r="174" spans="1:6" x14ac:dyDescent="0.2">
      <c r="A174" t="s">
        <v>219</v>
      </c>
      <c r="B174" t="s">
        <v>426</v>
      </c>
      <c r="C174" t="str" s="2">
        <f>HYPERLINK("https://www.enginatics.com/reports/cac-missing-material-accounting-transactions","CAC Missing Material Accounting Transactions")</f>
        <v>CAC Missing Material Accounting Transactions</v>
      </c>
      <c r="D174" t="str" s="2">
        <f>HYPERLINK("https://www.enginatics.com/example/cac-missing-material-accounting-transactions","CAC Missing Material Accounting Transactions 23-Jul-2022 161255.xlsx")</f>
        <v>CAC Missing Material Accounting Transactions 23-Jul-2022 161255.xlsx</v>
      </c>
      <c r="E174" t="s">
        <v>553</v>
      </c>
      <c r="F174" t="s">
        <v>554</v>
      </c>
    </row>
    <row r="175" spans="1:6" x14ac:dyDescent="0.2">
      <c r="A175" t="s">
        <v>219</v>
      </c>
      <c r="B175" t="s">
        <v>426</v>
      </c>
      <c r="C175" t="str" s="2">
        <f>HYPERLINK("https://www.enginatics.com/reports/cac-missing-receiving-accounting-transactions","CAC Missing Receiving Accounting Transactions")</f>
        <v>CAC Missing Receiving Accounting Transactions</v>
      </c>
      <c r="D175" t="str" s="2">
        <f>HYPERLINK("https://www.enginatics.com/example/cac-missing-receiving-accounting-transactions","CAC Missing Receiving Accounting Transactions 23-Jul-2022 171912.xlsx")</f>
        <v>CAC Missing Receiving Accounting Transactions 23-Jul-2022 171912.xlsx</v>
      </c>
      <c r="E175" t="s">
        <v>555</v>
      </c>
      <c r="F175" t="s">
        <v>556</v>
      </c>
    </row>
    <row r="176" spans="1:6" x14ac:dyDescent="0.2">
      <c r="A176" t="s">
        <v>219</v>
      </c>
      <c r="B176" t="s">
        <v>426</v>
      </c>
      <c r="C176" t="str" s="2">
        <f>HYPERLINK("https://www.enginatics.com/reports/cac-missing-wip-accounting-transactions","CAC Missing WIP Accounting Transactions")</f>
        <v>CAC Missing WIP Accounting Transactions</v>
      </c>
      <c r="D176" t="str" s="2">
        <f>HYPERLINK("https://www.enginatics.com/example/cac-missing-wip-accounting-transactions","CAC Missing WIP Accounting Transactions 23-Jul-2022 161739.xlsx")</f>
        <v>CAC Missing WIP Accounting Transactions 23-Jul-2022 161739.xlsx</v>
      </c>
      <c r="E176" t="s">
        <v>557</v>
      </c>
      <c r="F176" t="s">
        <v>558</v>
      </c>
    </row>
    <row r="177" spans="1:6" x14ac:dyDescent="0.2">
      <c r="A177" t="s">
        <v>219</v>
      </c>
      <c r="B177" t="s">
        <v>426</v>
      </c>
      <c r="C177" t="str" s="2">
        <f>HYPERLINK("https://www.enginatics.com/reports/cac-new-items","CAC New Items")</f>
        <v>CAC New Items</v>
      </c>
      <c r="D177" t="str" s="2">
        <f>HYPERLINK("https://www.enginatics.com/example/cac-new-items","CAC New Items 07-Jul-2022 142245.xlsx")</f>
        <v>CAC New Items 07-Jul-2022 142245.xlsx</v>
      </c>
      <c r="E177" t="s">
        <v>559</v>
      </c>
      <c r="F177" t="s">
        <v>560</v>
      </c>
    </row>
    <row r="178" spans="1:6" x14ac:dyDescent="0.2">
      <c r="A178" t="s">
        <v>219</v>
      </c>
      <c r="B178" t="s">
        <v>426</v>
      </c>
      <c r="C178" t="str" s="2">
        <f>HYPERLINK("https://www.enginatics.com/reports/cac-new-standard-item-costs","CAC New Standard Item Costs")</f>
        <v>CAC New Standard Item Costs</v>
      </c>
      <c r="E178" t="s">
        <v>561</v>
      </c>
      <c r="F178" t="s">
        <v>562</v>
      </c>
    </row>
    <row r="179" spans="1:6" x14ac:dyDescent="0.2">
      <c r="A179" t="s">
        <v>219</v>
      </c>
      <c r="B179" t="s">
        <v>426</v>
      </c>
      <c r="C179" t="str" s="2">
        <f>HYPERLINK("https://www.enginatics.com/reports/cac-number-of-item-costs-by-cost-type","CAC Number of Item Costs by Cost Type")</f>
        <v>CAC Number of Item Costs by Cost Type</v>
      </c>
      <c r="D179" t="str" s="2">
        <f>HYPERLINK("https://www.enginatics.com/example/cac-number-of-item-costs-by-cost-type","CAC Number of Item Costs by Cost Type 07-Jul-2022 152510.xlsx")</f>
        <v>CAC Number of Item Costs by Cost Type 07-Jul-2022 152510.xlsx</v>
      </c>
      <c r="E179" t="s">
        <v>563</v>
      </c>
      <c r="F179" t="s">
        <v>564</v>
      </c>
    </row>
    <row r="180" spans="1:6" x14ac:dyDescent="0.2">
      <c r="A180" t="s">
        <v>219</v>
      </c>
      <c r="B180" t="s">
        <v>426</v>
      </c>
      <c r="C180" t="str" s="2">
        <f>HYPERLINK("https://www.enginatics.com/reports/cac-opm-batch-material-summary","CAC OPM Batch Material Summary")</f>
        <v>CAC OPM Batch Material Summary</v>
      </c>
      <c r="E180" t="s">
        <v>565</v>
      </c>
      <c r="F180" t="s">
        <v>566</v>
      </c>
    </row>
    <row r="181" spans="1:6" x14ac:dyDescent="0.2">
      <c r="A181" t="s">
        <v>219</v>
      </c>
      <c r="B181" t="s">
        <v>426</v>
      </c>
      <c r="C181" t="str" s="2">
        <f>HYPERLINK("https://www.enginatics.com/reports/cac-opm-costed-formula","CAC OPM Costed Formula")</f>
        <v>CAC OPM Costed Formula</v>
      </c>
      <c r="E181" t="s">
        <v>567</v>
      </c>
      <c r="F181" t="s">
        <v>568</v>
      </c>
    </row>
    <row r="182" spans="1:6" x14ac:dyDescent="0.2">
      <c r="A182" t="s">
        <v>219</v>
      </c>
      <c r="B182" t="s">
        <v>426</v>
      </c>
      <c r="C182" t="str" s="2">
        <f>HYPERLINK("https://www.enginatics.com/reports/cac-opm-item-cost-detail","CAC OPM Item Cost Detail")</f>
        <v>CAC OPM Item Cost Detail</v>
      </c>
      <c r="D182" t="str" s="2">
        <f>HYPERLINK("https://www.enginatics.com/example/cac-opm-item-cost-detail","CAC OPM Item Cost Detail 05-Jun-2026 120011.xlsx")</f>
        <v>CAC OPM Item Cost Detail 05-Jun-2026 120011.xlsx</v>
      </c>
      <c r="E182" t="s">
        <v>569</v>
      </c>
      <c r="F182" t="s">
        <v>570</v>
      </c>
    </row>
    <row r="183" spans="1:6" x14ac:dyDescent="0.2">
      <c r="A183" t="s">
        <v>219</v>
      </c>
      <c r="B183" t="s">
        <v>426</v>
      </c>
      <c r="C183" t="str" s="2">
        <f>HYPERLINK("https://www.enginatics.com/reports/cac-opm-wip-account-value","CAC OPM WIP Account Value")</f>
        <v>CAC OPM WIP Account Value</v>
      </c>
      <c r="E183" t="s">
        <v>571</v>
      </c>
      <c r="F183" t="s">
        <v>572</v>
      </c>
    </row>
    <row r="184" spans="1:6" x14ac:dyDescent="0.2">
      <c r="A184" t="s">
        <v>219</v>
      </c>
      <c r="B184" t="s">
        <v>426</v>
      </c>
      <c r="C184" t="str" s="2">
        <f>HYPERLINK("https://www.enginatics.com/reports/cac-onhand-lot-value-real-time","CAC Onhand Lot Value (Real-Time)")</f>
        <v>CAC Onhand Lot Value (Real-Time)</v>
      </c>
      <c r="D184" t="str" s="2">
        <f>HYPERLINK("https://www.enginatics.com/example/cac-onhand-lot-value-real-time","CAC Onhand Lot Value (Real-Time) 07-Jul-2022 152614.xlsx")</f>
        <v>CAC Onhand Lot Value (Real-Time) 07-Jul-2022 152614.xlsx</v>
      </c>
      <c r="E184" t="s">
        <v>573</v>
      </c>
      <c r="F184" t="s">
        <v>574</v>
      </c>
    </row>
    <row r="185" spans="1:6" x14ac:dyDescent="0.2">
      <c r="A185" t="s">
        <v>219</v>
      </c>
      <c r="B185" t="s">
        <v>426</v>
      </c>
      <c r="C185" t="str" s="2">
        <f>HYPERLINK("https://www.enginatics.com/reports/cac-open-purchase-orders","CAC Open Purchase Orders")</f>
        <v>CAC Open Purchase Orders</v>
      </c>
      <c r="D185" t="str" s="2">
        <f>HYPERLINK("https://www.enginatics.com/example/cac-open-purchase-orders","CAC Open Purchase Orders 07-Jul-2022 170534.xlsx")</f>
        <v>CAC Open Purchase Orders 07-Jul-2022 170534.xlsx</v>
      </c>
      <c r="E185" t="s">
        <v>575</v>
      </c>
      <c r="F185" t="s">
        <v>576</v>
      </c>
    </row>
    <row r="186" spans="1:6" x14ac:dyDescent="0.2">
      <c r="A186" t="s">
        <v>219</v>
      </c>
      <c r="B186" t="s">
        <v>426</v>
      </c>
      <c r="C186" t="str" s="2">
        <f>HYPERLINK("https://www.enginatics.com/reports/cac-order-type-setup","CAC Order Type Setup")</f>
        <v>CAC Order Type Setup</v>
      </c>
      <c r="D186" t="str" s="2">
        <f>HYPERLINK("https://www.enginatics.com/example/cac-order-type-setup","CAC Order Type Setup 07-Jul-2022 172953.xlsx")</f>
        <v>CAC Order Type Setup 07-Jul-2022 172953.xlsx</v>
      </c>
      <c r="E186" t="s">
        <v>577</v>
      </c>
      <c r="F186" t="s">
        <v>578</v>
      </c>
    </row>
    <row r="187" spans="1:6" x14ac:dyDescent="0.2">
      <c r="A187" t="s">
        <v>219</v>
      </c>
      <c r="B187" t="s">
        <v>426</v>
      </c>
      <c r="C187" t="str" s="2">
        <f>HYPERLINK("https://www.enginatics.com/reports/cac-po-price-vs-costing-method-comparison","CAC PO Price vs. Costing Method Comparison")</f>
        <v>CAC PO Price vs. Costing Method Comparison</v>
      </c>
      <c r="D187" t="str" s="2">
        <f>HYPERLINK("https://www.enginatics.com/example/cac-po-price-vs-costing-method-comparison","CAC PO Price vs. Costing Method Comparison 07-Jul-2022 173319.xlsx")</f>
        <v>CAC PO Price vs. Costing Method Comparison 07-Jul-2022 173319.xlsx</v>
      </c>
      <c r="E187" t="s">
        <v>579</v>
      </c>
      <c r="F187" t="s">
        <v>580</v>
      </c>
    </row>
    <row r="188" spans="1:6" x14ac:dyDescent="0.2">
      <c r="A188" t="s">
        <v>219</v>
      </c>
      <c r="B188" t="s">
        <v>426</v>
      </c>
      <c r="C188" t="str" s="2">
        <f>HYPERLINK("https://www.enginatics.com/reports/cac-po-receipt-history-for-actual-costing","CAC PO Receipt History for Actual Costing")</f>
        <v>CAC PO Receipt History for Actual Costing</v>
      </c>
      <c r="D188" t="str" s="2">
        <f>HYPERLINK("https://www.enginatics.com/example/cac-po-receipt-history-for-actual-costing","CAC PO Receipt History for Actual Costing 13-Dec-2022 011635.xlsx")</f>
        <v>CAC PO Receipt History for Actual Costing 13-Dec-2022 011635.xlsx</v>
      </c>
      <c r="E188" t="s">
        <v>581</v>
      </c>
      <c r="F188" t="s">
        <v>582</v>
      </c>
    </row>
    <row r="189" spans="1:6" x14ac:dyDescent="0.2">
      <c r="A189" t="s">
        <v>219</v>
      </c>
      <c r="B189" t="s">
        <v>426</v>
      </c>
      <c r="C189" t="str" s="2">
        <f>HYPERLINK("https://www.enginatics.com/reports/cac-po-receipt-history-for-item-costing","CAC PO Receipt History for Item Costing")</f>
        <v>CAC PO Receipt History for Item Costing</v>
      </c>
      <c r="D189" t="str" s="2">
        <f>HYPERLINK("https://www.enginatics.com/example/cac-po-receipt-history-for-item-costing","CAC PO Receipt History for Item Costing 13-Dec-2022 104628.xlsx")</f>
        <v>CAC PO Receipt History for Item Costing 13-Dec-2022 104628.xlsx</v>
      </c>
      <c r="E189" t="s">
        <v>583</v>
      </c>
      <c r="F189" t="s">
        <v>584</v>
      </c>
    </row>
    <row r="190" spans="1:6" x14ac:dyDescent="0.2">
      <c r="A190" t="s">
        <v>219</v>
      </c>
      <c r="B190" t="s">
        <v>426</v>
      </c>
      <c r="C190" t="str" s="2">
        <f>HYPERLINK("https://www.enginatics.com/reports/cac-purchase-price-variance","CAC Purchase Price Variance")</f>
        <v>CAC Purchase Price Variance</v>
      </c>
      <c r="D190" t="str" s="2">
        <f>HYPERLINK("https://www.enginatics.com/example/cac-purchase-price-variance","CAC Purchase Price Variance 07-Jul-2022 173826.xlsx")</f>
        <v>CAC Purchase Price Variance 07-Jul-2022 173826.xlsx</v>
      </c>
      <c r="E190" t="s">
        <v>585</v>
      </c>
      <c r="F190" t="s">
        <v>586</v>
      </c>
    </row>
    <row r="191" spans="1:6" x14ac:dyDescent="0.2">
      <c r="A191" t="s">
        <v>219</v>
      </c>
      <c r="B191" t="s">
        <v>426</v>
      </c>
      <c r="C191" t="str" s="2">
        <f>HYPERLINK("https://www.enginatics.com/reports/cac-receiving-account-detail","CAC Receiving Account Detail")</f>
        <v>CAC Receiving Account Detail</v>
      </c>
      <c r="D191" t="str" s="2">
        <f>HYPERLINK("https://www.enginatics.com/example/cac-receiving-account-detail","CAC Receiving Account Detail 03-Sep-2022 132129.xlsx")</f>
        <v>CAC Receiving Account Detail 03-Sep-2022 132129.xlsx</v>
      </c>
      <c r="E191" t="s">
        <v>587</v>
      </c>
      <c r="F191" t="s">
        <v>588</v>
      </c>
    </row>
    <row r="192" spans="1:6" x14ac:dyDescent="0.2">
      <c r="A192" t="s">
        <v>219</v>
      </c>
      <c r="B192" t="s">
        <v>426</v>
      </c>
      <c r="C192" t="str" s="2">
        <f>HYPERLINK("https://www.enginatics.com/reports/cac-receiving-account-summary","CAC Receiving Account Summary")</f>
        <v>CAC Receiving Account Summary</v>
      </c>
      <c r="D192" t="str" s="2">
        <f>HYPERLINK("https://www.enginatics.com/example/cac-receiving-account-summary","CAC Receiving Account Summary 03-Sep-2022 111842.xlsx")</f>
        <v>CAC Receiving Account Summary 03-Sep-2022 111842.xlsx</v>
      </c>
      <c r="E192" t="s">
        <v>589</v>
      </c>
      <c r="F192" t="s">
        <v>590</v>
      </c>
    </row>
    <row r="193" spans="1:6" x14ac:dyDescent="0.2">
      <c r="A193" t="s">
        <v>219</v>
      </c>
      <c r="B193" t="s">
        <v>426</v>
      </c>
      <c r="C193" t="str" s="2">
        <f>HYPERLINK("https://www.enginatics.com/reports/cac-receiving-activity-summary","CAC Receiving Activity Summary")</f>
        <v>CAC Receiving Activity Summary</v>
      </c>
      <c r="D193" t="str" s="2">
        <f>HYPERLINK("https://www.enginatics.com/example/cac-receiving-activity-summary","CAC Receiving Activity Summary 26-Jun-2023 170719.xlsx")</f>
        <v>CAC Receiving Activity Summary 26-Jun-2023 170719.xlsx</v>
      </c>
      <c r="E193" t="s">
        <v>591</v>
      </c>
      <c r="F193" t="s">
        <v>592</v>
      </c>
    </row>
    <row r="194" spans="1:6" x14ac:dyDescent="0.2">
      <c r="A194" t="s">
        <v>219</v>
      </c>
      <c r="B194" t="s">
        <v>426</v>
      </c>
      <c r="C194" t="str" s="2">
        <f>HYPERLINK("https://www.enginatics.com/reports/cac-receiving-expense-value-period-end","CAC Receiving Expense Value (Period-End)")</f>
        <v>CAC Receiving Expense Value (Period-End)</v>
      </c>
      <c r="E194" t="s">
        <v>593</v>
      </c>
      <c r="F194" t="s">
        <v>594</v>
      </c>
    </row>
    <row r="195" spans="1:6" x14ac:dyDescent="0.2">
      <c r="A195" t="s">
        <v>219</v>
      </c>
      <c r="B195" t="s">
        <v>426</v>
      </c>
      <c r="C195" t="str" s="2">
        <f>HYPERLINK("https://www.enginatics.com/reports/cac-receiving-value-period-end","CAC Receiving Value (Period-End)")</f>
        <v>CAC Receiving Value (Period-End)</v>
      </c>
      <c r="D195" t="str" s="2">
        <f>HYPERLINK("https://www.enginatics.com/example/cac-receiving-value-period-end","CAC Receiving Value (Period-End) - Pivot by Org 11-Aug-2022 151851.xlsx")</f>
        <v>CAC Receiving Value (Period-End) - Pivot by Org 11-Aug-2022 151851.xlsx</v>
      </c>
      <c r="E195" t="s">
        <v>595</v>
      </c>
      <c r="F195" t="s">
        <v>596</v>
      </c>
    </row>
    <row r="196" spans="1:6" x14ac:dyDescent="0.2">
      <c r="A196" t="s">
        <v>219</v>
      </c>
      <c r="B196" t="s">
        <v>426</v>
      </c>
      <c r="C196" t="str" s="2">
        <f>HYPERLINK("https://www.enginatics.com/reports/cac-recost-cost-of-goods-sold","CAC Recost Cost of Goods Sold")</f>
        <v>CAC Recost Cost of Goods Sold</v>
      </c>
      <c r="E196" t="s">
        <v>597</v>
      </c>
      <c r="F196" t="s">
        <v>598</v>
      </c>
    </row>
    <row r="197" spans="1:6" x14ac:dyDescent="0.2">
      <c r="A197" t="s">
        <v>219</v>
      </c>
      <c r="B197" t="s">
        <v>426</v>
      </c>
      <c r="C197" t="str" s="2">
        <f>HYPERLINK("https://www.enginatics.com/reports/cac-resource-costs","CAC Resource Costs")</f>
        <v>CAC Resource Costs</v>
      </c>
      <c r="D197" t="str" s="2">
        <f>HYPERLINK("https://www.enginatics.com/example/cac-resource-costs","CAC Resource Costs 12-Jul-2022 220258.xlsx")</f>
        <v>CAC Resource Costs 12-Jul-2022 220258.xlsx</v>
      </c>
      <c r="E197" t="s">
        <v>599</v>
      </c>
      <c r="F197" t="s">
        <v>600</v>
      </c>
    </row>
    <row r="198" spans="1:6" x14ac:dyDescent="0.2">
      <c r="A198" t="s">
        <v>219</v>
      </c>
      <c r="B198" t="s">
        <v>426</v>
      </c>
      <c r="C198" t="str" s="2">
        <f>HYPERLINK("https://www.enginatics.com/reports/cac-resources-associated-with-overheads-setup","CAC Resources Associated with Overheads Setup")</f>
        <v>CAC Resources Associated with Overheads Setup</v>
      </c>
      <c r="D198" t="str" s="2">
        <f>HYPERLINK("https://www.enginatics.com/example/cac-resources-associated-with-overheads-setup","CAC Resources Associated with Overheads Setup 08-Jul-2022 194540.xlsx")</f>
        <v>CAC Resources Associated with Overheads Setup 08-Jul-2022 194540.xlsx</v>
      </c>
      <c r="E198" t="s">
        <v>601</v>
      </c>
      <c r="F198" t="s">
        <v>602</v>
      </c>
    </row>
    <row r="199" spans="1:6" x14ac:dyDescent="0.2">
      <c r="A199" t="s">
        <v>219</v>
      </c>
      <c r="B199" t="s">
        <v>426</v>
      </c>
      <c r="C199" t="str" s="2">
        <f>HYPERLINK("https://www.enginatics.com/reports/cac-resources-by-department-setup","CAC Resources by Department Setup")</f>
        <v>CAC Resources by Department Setup</v>
      </c>
      <c r="D199" t="str" s="2">
        <f>HYPERLINK("https://www.enginatics.com/example/cac-resources-by-department-setup","CAC Resources by Department Setup 08-Jul-2022 195451.xlsx")</f>
        <v>CAC Resources by Department Setup 08-Jul-2022 195451.xlsx</v>
      </c>
      <c r="E199" t="s">
        <v>603</v>
      </c>
      <c r="F199" t="s">
        <v>604</v>
      </c>
    </row>
    <row r="200" spans="1:6" x14ac:dyDescent="0.2">
      <c r="A200" t="s">
        <v>219</v>
      </c>
      <c r="B200" t="s">
        <v>426</v>
      </c>
      <c r="C200" t="str" s="2">
        <f>HYPERLINK("https://www.enginatics.com/reports/cac-shipping-network-inter-org-accounts-setup","CAC Shipping Network (Inter-Org) Accounts Setup")</f>
        <v>CAC Shipping Network (Inter-Org) Accounts Setup</v>
      </c>
      <c r="D200" t="str" s="2">
        <f>HYPERLINK("https://www.enginatics.com/example/cac-shipping-network-inter-org-accounts-setup","CAC Shipping Network (Inter-Org) Accounts Setup 08-Jul-2022 195805.xlsx")</f>
        <v>CAC Shipping Network (Inter-Org) Accounts Setup 08-Jul-2022 195805.xlsx</v>
      </c>
      <c r="E200" t="s">
        <v>605</v>
      </c>
      <c r="F200" t="s">
        <v>606</v>
      </c>
    </row>
    <row r="201" spans="1:6" x14ac:dyDescent="0.2">
      <c r="A201" t="s">
        <v>219</v>
      </c>
      <c r="B201" t="s">
        <v>426</v>
      </c>
      <c r="C201" t="str" s="2">
        <f>HYPERLINK("https://www.enginatics.com/reports/cac-shipping-networks-missing-interco-ou-relationships","CAC Shipping Networks Missing Interco OU Relationships")</f>
        <v>CAC Shipping Networks Missing Interco OU Relationships</v>
      </c>
      <c r="D201" t="str" s="2">
        <f>HYPERLINK("https://www.enginatics.com/example/cac-shipping-networks-missing-interco-ou-relationships","CAC Shipping Networks Missing Interco OU Relationships 08-Jul-2022 200126.xlsx")</f>
        <v>CAC Shipping Networks Missing Interco OU Relationships 08-Jul-2022 200126.xlsx</v>
      </c>
      <c r="E201" t="s">
        <v>607</v>
      </c>
      <c r="F201" t="s">
        <v>608</v>
      </c>
    </row>
    <row r="202" spans="1:6" x14ac:dyDescent="0.2">
      <c r="A202" t="s">
        <v>219</v>
      </c>
      <c r="B202" t="s">
        <v>426</v>
      </c>
      <c r="C202" t="str" s="2">
        <f>HYPERLINK("https://www.enginatics.com/reports/cac-standard-cost-update-submissions","CAC Standard Cost Update Submissions")</f>
        <v>CAC Standard Cost Update Submissions</v>
      </c>
      <c r="E202" t="s">
        <v>609</v>
      </c>
      <c r="F202" t="s">
        <v>610</v>
      </c>
    </row>
    <row r="203" spans="1:6" x14ac:dyDescent="0.2">
      <c r="A203" t="s">
        <v>219</v>
      </c>
      <c r="B203" t="s">
        <v>426</v>
      </c>
      <c r="C203" t="str" s="2">
        <f>HYPERLINK("https://www.enginatics.com/reports/cac-subinventory-accounts-setup","CAC Subinventory Accounts Setup")</f>
        <v>CAC Subinventory Accounts Setup</v>
      </c>
      <c r="D203" t="str" s="2">
        <f>HYPERLINK("https://www.enginatics.com/example/cac-subinventory-accounts-setup","CAC Subinventory Accounts Setup 10-Jul-2022 111226.xlsx")</f>
        <v>CAC Subinventory Accounts Setup 10-Jul-2022 111226.xlsx</v>
      </c>
      <c r="E203" t="s">
        <v>611</v>
      </c>
      <c r="F203" t="s">
        <v>612</v>
      </c>
    </row>
    <row r="204" spans="1:6" x14ac:dyDescent="0.2">
      <c r="A204" t="s">
        <v>219</v>
      </c>
      <c r="B204" t="s">
        <v>426</v>
      </c>
      <c r="C204" t="str" s="2">
        <f>HYPERLINK("https://www.enginatics.com/reports/cac-user-defined-and-rolled-up-costs","CAC User-Defined and Rolled Up Costs")</f>
        <v>CAC User-Defined and Rolled Up Costs</v>
      </c>
      <c r="D204" t="str" s="2">
        <f>HYPERLINK("https://www.enginatics.com/example/cac-user-defined-and-rolled-up-costs","CAC User-Defined and Rolled Up Costs 12-Jan-2023 132132.xlsx")</f>
        <v>CAC User-Defined and Rolled Up Costs 12-Jan-2023 132132.xlsx</v>
      </c>
      <c r="E204" t="s">
        <v>613</v>
      </c>
      <c r="F204" t="s">
        <v>614</v>
      </c>
    </row>
    <row r="205" spans="1:6" x14ac:dyDescent="0.2">
      <c r="A205" t="s">
        <v>219</v>
      </c>
      <c r="B205" t="s">
        <v>426</v>
      </c>
      <c r="C205" t="str" s="2">
        <f>HYPERLINK("https://www.enginatics.com/reports/cac-wip-account-detail","CAC WIP Account Detail")</f>
        <v>CAC WIP Account Detail</v>
      </c>
      <c r="D205" t="str" s="2">
        <f>HYPERLINK("https://www.enginatics.com/example/cac-wip-account-detail","CAC WIP Account Detail 08-Oct-2022 065519.xlsx")</f>
        <v>CAC WIP Account Detail 08-Oct-2022 065519.xlsx</v>
      </c>
      <c r="E205" t="s">
        <v>615</v>
      </c>
      <c r="F205" t="s">
        <v>616</v>
      </c>
    </row>
    <row r="206" spans="1:6" x14ac:dyDescent="0.2">
      <c r="A206" t="s">
        <v>219</v>
      </c>
      <c r="B206" t="s">
        <v>426</v>
      </c>
      <c r="C206" t="str" s="2">
        <f>HYPERLINK("https://www.enginatics.com/reports/cac-wip-account-summary","CAC WIP Account Summary")</f>
        <v>CAC WIP Account Summary</v>
      </c>
      <c r="D206" t="str" s="2">
        <f>HYPERLINK("https://www.enginatics.com/example/cac-wip-account-summary","CAC WIP Account Summary 17-Aug-2022 204307.xlsx")</f>
        <v>CAC WIP Account Summary 17-Aug-2022 204307.xlsx</v>
      </c>
      <c r="E206" t="s">
        <v>617</v>
      </c>
      <c r="F206" t="s">
        <v>618</v>
      </c>
    </row>
    <row r="207" spans="1:6" x14ac:dyDescent="0.2">
      <c r="A207" t="s">
        <v>219</v>
      </c>
      <c r="B207" t="s">
        <v>426</v>
      </c>
      <c r="C207" t="str" s="2">
        <f>HYPERLINK("https://www.enginatics.com/reports/cac-wip-account-value","CAC WIP Account Value")</f>
        <v>CAC WIP Account Value</v>
      </c>
      <c r="D207" t="str" s="2">
        <f>HYPERLINK("https://www.enginatics.com/example/cac-wip-account-value","CAC WIP Account Value 10-Jul-2022 131938.xlsx")</f>
        <v>CAC WIP Account Value 10-Jul-2022 131938.xlsx</v>
      </c>
      <c r="E207" t="s">
        <v>619</v>
      </c>
      <c r="F207" t="s">
        <v>620</v>
      </c>
    </row>
    <row r="208" spans="1:6" x14ac:dyDescent="0.2">
      <c r="A208" t="s">
        <v>219</v>
      </c>
      <c r="B208" t="s">
        <v>426</v>
      </c>
      <c r="C208" t="str" s="2">
        <f>HYPERLINK("https://www.enginatics.com/reports/cac-wip-accounts-setup","CAC WIP Accounts Setup")</f>
        <v>CAC WIP Accounts Setup</v>
      </c>
      <c r="D208" t="str" s="2">
        <f>HYPERLINK("https://www.enginatics.com/example/cac-wip-accounts-setup","CAC WIP Accounts Setup 10-Jul-2022 124032.xlsx")</f>
        <v>CAC WIP Accounts Setup 10-Jul-2022 124032.xlsx</v>
      </c>
      <c r="E208" t="s">
        <v>621</v>
      </c>
      <c r="F208" t="s">
        <v>622</v>
      </c>
    </row>
    <row r="209" spans="1:6" x14ac:dyDescent="0.2">
      <c r="A209" t="s">
        <v>219</v>
      </c>
      <c r="B209" t="s">
        <v>426</v>
      </c>
      <c r="C209" t="str" s="2">
        <f>HYPERLINK("https://www.enginatics.com/reports/cac-wip-jobs-with-complete-status-but-not-ready-for-close","CAC WIP Jobs With Complete Status But Not Ready for Close")</f>
        <v>CAC WIP Jobs With Complete Status But Not Ready for Close</v>
      </c>
      <c r="D209" t="str" s="2">
        <f>HYPERLINK("https://www.enginatics.com/example/cac-wip-jobs-with-complete-status-but-not-ready-for-close","CAC WIP Jobs With Complete Status But Not Ready for Close 10-Jul-2022 163050.xlsx")</f>
        <v>CAC WIP Jobs With Complete Status But Not Ready for Close 10-Jul-2022 163050.xlsx</v>
      </c>
      <c r="E209" t="s">
        <v>623</v>
      </c>
      <c r="F209" t="s">
        <v>624</v>
      </c>
    </row>
    <row r="210" spans="1:6" x14ac:dyDescent="0.2">
      <c r="A210" t="s">
        <v>219</v>
      </c>
      <c r="B210" t="s">
        <v>426</v>
      </c>
      <c r="C210" t="str" s="2">
        <f>HYPERLINK("https://www.enginatics.com/reports/cac-wip-jobs-with-complete-status-which-are-ready-for-close","CAC WIP Jobs With Complete Status Which Are Ready for Close")</f>
        <v>CAC WIP Jobs With Complete Status Which Are Ready for Close</v>
      </c>
      <c r="D210" t="str" s="2">
        <f>HYPERLINK("https://www.enginatics.com/example/cac-wip-jobs-with-complete-status-which-are-ready-for-close","CAC WIP Jobs With Complete Status Which Are Ready for Close 10-Jul-2022 155448.xlsx")</f>
        <v>CAC WIP Jobs With Complete Status Which Are Ready for Close 10-Jul-2022 155448.xlsx</v>
      </c>
      <c r="E210" t="s">
        <v>625</v>
      </c>
      <c r="F210" t="s">
        <v>626</v>
      </c>
    </row>
    <row r="211" spans="1:6" x14ac:dyDescent="0.2">
      <c r="A211" t="s">
        <v>219</v>
      </c>
      <c r="B211" t="s">
        <v>426</v>
      </c>
      <c r="C211" t="str" s="2">
        <f>HYPERLINK("https://www.enginatics.com/reports/cac-wip-material-relief","CAC WIP Material Relief")</f>
        <v>CAC WIP Material Relief</v>
      </c>
      <c r="D211" t="str" s="2">
        <f>HYPERLINK("https://www.enginatics.com/example/cac-wip-material-relief","CAC WIP Material Relief 01-Aug-2022 084256.xlsx")</f>
        <v>CAC WIP Material Relief 01-Aug-2022 084256.xlsx</v>
      </c>
      <c r="E211" t="s">
        <v>627</v>
      </c>
      <c r="F211" t="s">
        <v>628</v>
      </c>
    </row>
    <row r="212" spans="1:6" x14ac:dyDescent="0.2">
      <c r="A212" t="s">
        <v>219</v>
      </c>
      <c r="B212" t="s">
        <v>426</v>
      </c>
      <c r="C212" t="str" s="2">
        <f>HYPERLINK("https://www.enginatics.com/reports/cac-wip-material-usage-variance","CAC WIP Material Usage Variance")</f>
        <v>CAC WIP Material Usage Variance</v>
      </c>
      <c r="D212" t="str" s="2">
        <f>HYPERLINK("https://www.enginatics.com/example/cac-wip-material-usage-variance","CAC WIP Material Usage Variance 10-Jul-2022 165408.xlsx")</f>
        <v>CAC WIP Material Usage Variance 10-Jul-2022 165408.xlsx</v>
      </c>
      <c r="E212" t="s">
        <v>629</v>
      </c>
      <c r="F212" t="s">
        <v>630</v>
      </c>
    </row>
    <row r="213" spans="1:6" x14ac:dyDescent="0.2">
      <c r="A213" t="s">
        <v>219</v>
      </c>
      <c r="B213" t="s">
        <v>426</v>
      </c>
      <c r="C213" t="str" s="2">
        <f>HYPERLINK("https://www.enginatics.com/reports/cac-wip-pending-cost-adjustment","CAC WIP Pending Cost Adjustment")</f>
        <v>CAC WIP Pending Cost Adjustment</v>
      </c>
      <c r="D213" t="str" s="2">
        <f>HYPERLINK("https://www.enginatics.com/example/cac-wip-pending-cost-adjustment","CAC WIP Pending Cost Adjustment 10-Jul-2022 165903.xlsx")</f>
        <v>CAC WIP Pending Cost Adjustment 10-Jul-2022 165903.xlsx</v>
      </c>
      <c r="E213" t="s">
        <v>631</v>
      </c>
      <c r="F213" t="s">
        <v>632</v>
      </c>
    </row>
    <row r="214" spans="1:6" x14ac:dyDescent="0.2">
      <c r="A214" t="s">
        <v>219</v>
      </c>
      <c r="B214" t="s">
        <v>426</v>
      </c>
      <c r="C214" t="str" s="2">
        <f>HYPERLINK("https://www.enginatics.com/reports/cac-wip-period-balances-to-accounting-activity-reconciliation","CAC WIP Period Balances to Accounting Activity Reconciliation")</f>
        <v>CAC WIP Period Balances to Accounting Activity Reconciliation</v>
      </c>
      <c r="E214" t="s">
        <v>633</v>
      </c>
      <c r="F214" t="s">
        <v>634</v>
      </c>
    </row>
    <row r="215" spans="1:6" x14ac:dyDescent="0.2">
      <c r="A215" t="s">
        <v>219</v>
      </c>
      <c r="B215" t="s">
        <v>426</v>
      </c>
      <c r="C215" t="str" s="2">
        <f>HYPERLINK("https://www.enginatics.com/reports/cac-wip-resource-efficiency","CAC WIP Resource Efficiency")</f>
        <v>CAC WIP Resource Efficiency</v>
      </c>
      <c r="D215" t="str" s="2">
        <f>HYPERLINK("https://www.enginatics.com/example/cac-wip-resource-efficiency","CAC WIP Resource Efficiency 10-Jul-2022 170101.xlsx")</f>
        <v>CAC WIP Resource Efficiency 10-Jul-2022 170101.xlsx</v>
      </c>
      <c r="E215" t="s">
        <v>635</v>
      </c>
      <c r="F215" t="s">
        <v>636</v>
      </c>
    </row>
    <row r="216" spans="1:6" x14ac:dyDescent="0.2">
      <c r="A216" t="s">
        <v>219</v>
      </c>
      <c r="B216" t="s">
        <v>426</v>
      </c>
      <c r="C216" t="str" s="2">
        <f>HYPERLINK("https://www.enginatics.com/reports/cac-where-used-by-cost-type","CAC Where Used by Cost Type")</f>
        <v>CAC Where Used by Cost Type</v>
      </c>
      <c r="D216" t="str" s="2">
        <f>HYPERLINK("https://www.enginatics.com/example/cac-where-used-by-cost-type","CAC Where Used by Cost Type 10-Jul-2022 111949.xlsx")</f>
        <v>CAC Where Used by Cost Type 10-Jul-2022 111949.xlsx</v>
      </c>
      <c r="E216" t="s">
        <v>637</v>
      </c>
      <c r="F216" t="s">
        <v>638</v>
      </c>
    </row>
    <row r="217" spans="1:6" x14ac:dyDescent="0.2">
      <c r="A217" t="s">
        <v>219</v>
      </c>
      <c r="B217" t="s">
        <v>426</v>
      </c>
      <c r="C217" t="str" s="2">
        <f>HYPERLINK("https://www.enginatics.com/reports/cac-zero-item-costs","CAC Zero Item Costs")</f>
        <v>CAC Zero Item Costs</v>
      </c>
      <c r="D217" t="str" s="2">
        <f>HYPERLINK("https://www.enginatics.com/example/cac-zero-item-costs","CAC Zero Item Costs 10-Jul-2022 170519.xlsx")</f>
        <v>CAC Zero Item Costs 10-Jul-2022 170519.xlsx</v>
      </c>
      <c r="E217" t="s">
        <v>639</v>
      </c>
      <c r="F217" t="s">
        <v>640</v>
      </c>
    </row>
    <row r="218" spans="1:6" x14ac:dyDescent="0.2">
      <c r="A218" t="s">
        <v>219</v>
      </c>
      <c r="B218" t="s">
        <v>46</v>
      </c>
      <c r="C218" t="str" s="2">
        <f>HYPERLINK("https://www.enginatics.com/reports/ce-bank-account-balances","CE Bank Account Balances")</f>
        <v>CE Bank Account Balances</v>
      </c>
      <c r="D218" t="str" s="2">
        <f>HYPERLINK("https://www.enginatics.com/example/ce-bank-account-balances","CE Bank Account Balances 19-Aug-2021 075222.xlsx")</f>
        <v>CE Bank Account Balances 19-Aug-2021 075222.xlsx</v>
      </c>
      <c r="E218" t="s">
        <v>641</v>
      </c>
      <c r="F218" t="s">
        <v>642</v>
      </c>
    </row>
    <row r="219" spans="1:6" x14ac:dyDescent="0.2">
      <c r="A219" t="s">
        <v>219</v>
      </c>
      <c r="B219" t="s">
        <v>46</v>
      </c>
      <c r="C219" t="str" s="2">
        <f>HYPERLINK("https://www.enginatics.com/reports/ce-bank-branches","CE Bank Branches")</f>
        <v>CE Bank Branches</v>
      </c>
      <c r="D219" t="str" s="2">
        <f>HYPERLINK("https://www.enginatics.com/example/ce-bank-branches","CE Bank Branches 02-Aug-2024 090909.xlsx")</f>
        <v>CE Bank Branches 02-Aug-2024 090909.xlsx</v>
      </c>
      <c r="E219" t="s">
        <v>643</v>
      </c>
      <c r="F219" t="s">
        <v>644</v>
      </c>
    </row>
    <row r="220" spans="1:6" x14ac:dyDescent="0.2">
      <c r="A220" t="s">
        <v>219</v>
      </c>
      <c r="B220" t="s">
        <v>46</v>
      </c>
      <c r="C220" t="str" s="2">
        <f>HYPERLINK("https://www.enginatics.com/reports/ce-bank-statement-import-execution","CE Bank Statement Import Execution")</f>
        <v>CE Bank Statement Import Execution</v>
      </c>
      <c r="D220" t="str" s="2">
        <f>HYPERLINK("https://www.enginatics.com/example/ce-bank-statement-import-execution","CE Bank Statement Import Execution 22-Feb-2022 234911.xlsx")</f>
        <v>CE Bank Statement Import Execution 22-Feb-2022 234911.xlsx</v>
      </c>
      <c r="E220" t="s">
        <v>645</v>
      </c>
      <c r="F220" t="s">
        <v>646</v>
      </c>
    </row>
    <row r="221" spans="1:6" x14ac:dyDescent="0.2">
      <c r="A221" t="s">
        <v>219</v>
      </c>
      <c r="B221" t="s">
        <v>46</v>
      </c>
      <c r="C221" t="str" s="2">
        <f>HYPERLINK("https://www.enginatics.com/reports/ce-bank-statement-and-reconciliation","CE Bank Statement and Reconciliation")</f>
        <v>CE Bank Statement and Reconciliation</v>
      </c>
      <c r="D221" t="str" s="2">
        <f>HYPERLINK("https://www.enginatics.com/example/ce-bank-statement-and-reconciliation","CE Bank Statement and Reconciliation 04-Apr-2026 123137.xlsx")</f>
        <v>CE Bank Statement and Reconciliation 04-Apr-2026 123137.xlsx</v>
      </c>
      <c r="E221" t="s">
        <v>647</v>
      </c>
      <c r="F221" t="s">
        <v>648</v>
      </c>
    </row>
    <row r="222" spans="1:6" x14ac:dyDescent="0.2">
      <c r="A222" t="s">
        <v>219</v>
      </c>
      <c r="B222" t="s">
        <v>46</v>
      </c>
      <c r="C222" t="str" s="2">
        <f>HYPERLINK("https://www.enginatics.com/reports/ce-bank-transaction-codes-listing","CE Bank Transaction Codes Listing")</f>
        <v>CE Bank Transaction Codes Listing</v>
      </c>
      <c r="D222" t="str" s="2">
        <f>HYPERLINK("https://www.enginatics.com/example/ce-bank-transaction-codes-listing","CE Bank Transaction Codes Listing 22-Feb-2022 233052.xlsx")</f>
        <v>CE Bank Transaction Codes Listing 22-Feb-2022 233052.xlsx</v>
      </c>
      <c r="E222" t="s">
        <v>649</v>
      </c>
      <c r="F222" t="s">
        <v>650</v>
      </c>
    </row>
    <row r="223" spans="1:6" x14ac:dyDescent="0.2">
      <c r="A223" t="s">
        <v>219</v>
      </c>
      <c r="B223" t="s">
        <v>46</v>
      </c>
      <c r="C223" t="str" s="2">
        <f>HYPERLINK("https://www.enginatics.com/reports/ce-cash-in-transit","CE Cash in Transit")</f>
        <v>CE Cash in Transit</v>
      </c>
      <c r="E223" t="s">
        <v>651</v>
      </c>
      <c r="F223" t="s">
        <v>652</v>
      </c>
    </row>
    <row r="224" spans="1:6" x14ac:dyDescent="0.2">
      <c r="A224" t="s">
        <v>219</v>
      </c>
      <c r="B224" t="s">
        <v>46</v>
      </c>
      <c r="C224" t="str" s="2">
        <f>HYPERLINK("https://www.enginatics.com/reports/ce-cleared-transactions","CE Cleared Transactions")</f>
        <v>CE Cleared Transactions</v>
      </c>
      <c r="E224" t="s">
        <v>653</v>
      </c>
      <c r="F224" t="s">
        <v>654</v>
      </c>
    </row>
    <row r="225" spans="1:6" x14ac:dyDescent="0.2">
      <c r="A225" t="s">
        <v>219</v>
      </c>
      <c r="B225" t="s">
        <v>46</v>
      </c>
      <c r="C225" t="str" s="2">
        <f>HYPERLINK("https://www.enginatics.com/reports/ce-general-ledger-cash-account-usage","CE General Ledger Cash Account Usage")</f>
        <v>CE General Ledger Cash Account Usage</v>
      </c>
      <c r="D225" t="str" s="2">
        <f>HYPERLINK("https://www.enginatics.com/example/ce-general-ledger-cash-account-usage","CE General Ledger Cash Account Usage 04-Apr-2026 123137.xlsx")</f>
        <v>CE General Ledger Cash Account Usage 04-Apr-2026 123137.xlsx</v>
      </c>
      <c r="E225" t="s">
        <v>655</v>
      </c>
      <c r="F225" t="s">
        <v>656</v>
      </c>
    </row>
    <row r="226" spans="1:6" x14ac:dyDescent="0.2">
      <c r="A226" t="s">
        <v>219</v>
      </c>
      <c r="B226" t="s">
        <v>46</v>
      </c>
      <c r="C226" t="str" s="2">
        <f>HYPERLINK("https://www.enginatics.com/reports/ce-general-ledger-reconciliation","CE General Ledger Reconciliation")</f>
        <v>CE General Ledger Reconciliation</v>
      </c>
      <c r="D226" t="str" s="2">
        <f>HYPERLINK("https://www.enginatics.com/example/ce-general-ledger-reconciliation","CE General Ledger Reconciliation 06-Sep-2021 012753.xlsx")</f>
        <v>CE General Ledger Reconciliation 06-Sep-2021 012753.xlsx</v>
      </c>
      <c r="E226" t="s">
        <v>657</v>
      </c>
      <c r="F226" t="s">
        <v>658</v>
      </c>
    </row>
    <row r="227" spans="1:6" x14ac:dyDescent="0.2">
      <c r="A227" t="s">
        <v>219</v>
      </c>
      <c r="B227" t="s">
        <v>46</v>
      </c>
      <c r="C227" t="str" s="2">
        <f>HYPERLINK("https://www.enginatics.com/reports/ce-transactions-available-for-reconciliation","CE Transactions Available for Reconciliation")</f>
        <v>CE Transactions Available for Reconciliation</v>
      </c>
      <c r="E227" t="s">
        <v>659</v>
      </c>
      <c r="F227" t="s">
        <v>660</v>
      </c>
    </row>
    <row r="228" spans="1:6" x14ac:dyDescent="0.2">
      <c r="A228" t="s">
        <v>219</v>
      </c>
      <c r="B228" t="s">
        <v>661</v>
      </c>
      <c r="C228" t="str" s="2">
        <f>HYPERLINK("https://www.enginatics.com/reports/crp-available-resources","CRP Available Resources")</f>
        <v>CRP Available Resources</v>
      </c>
      <c r="D228" t="str" s="2">
        <f>HYPERLINK("https://www.enginatics.com/example/crp-available-resources","CRP Available Resources 14-May-2018 005901.xlsx")</f>
        <v>CRP Available Resources 14-May-2018 005901.xlsx</v>
      </c>
      <c r="E228" t="s">
        <v>662</v>
      </c>
      <c r="F228" t="s">
        <v>663</v>
      </c>
    </row>
    <row r="229" spans="1:6" x14ac:dyDescent="0.2">
      <c r="A229" t="s">
        <v>219</v>
      </c>
      <c r="B229" t="s">
        <v>661</v>
      </c>
      <c r="C229" t="str" s="2">
        <f>HYPERLINK("https://www.enginatics.com/reports/crp-resource-plan","CRP Resource Plan")</f>
        <v>CRP Resource Plan</v>
      </c>
      <c r="D229" t="str" s="2">
        <f>HYPERLINK("https://www.enginatics.com/example/crp-resource-plan","CRP Resource Plan 03-Aug-2018 210345.xlsx")</f>
        <v>CRP Resource Plan 03-Aug-2018 210345.xlsx</v>
      </c>
      <c r="E229" t="s">
        <v>664</v>
      </c>
      <c r="F229" t="s">
        <v>665</v>
      </c>
    </row>
    <row r="230" spans="1:6" x14ac:dyDescent="0.2">
      <c r="A230" t="s">
        <v>219</v>
      </c>
      <c r="B230" t="s">
        <v>666</v>
      </c>
      <c r="C230" t="str" s="2">
        <f>HYPERLINK("https://www.enginatics.com/reports/csi-customer-products-summary","CSI Customer Products Summary")</f>
        <v>CSI Customer Products Summary</v>
      </c>
      <c r="D230" t="str" s="2">
        <f>HYPERLINK("https://www.enginatics.com/example/csi-customer-products-summary","CSI Customer Products Summary 11-Jul-2021 195211.xlsx")</f>
        <v>CSI Customer Products Summary 11-Jul-2021 195211.xlsx</v>
      </c>
      <c r="E230" t="s">
        <v>667</v>
      </c>
      <c r="F230" t="s">
        <v>668</v>
      </c>
    </row>
    <row r="231" spans="1:6" x14ac:dyDescent="0.2">
      <c r="A231" t="s">
        <v>219</v>
      </c>
      <c r="B231" t="s">
        <v>666</v>
      </c>
      <c r="C231" t="str" s="2">
        <f>HYPERLINK("https://www.enginatics.com/reports/csi-installed-base-extended-attributes-summary","CSI Installed Base Extended Attributes Summary")</f>
        <v>CSI Installed Base Extended Attributes Summary</v>
      </c>
      <c r="D231" t="str" s="2">
        <f>HYPERLINK("https://www.enginatics.com/example/csi-installed-base-extended-attributes-summary","CSI Installed Base Extended Attributes Summary 04-Apr-2026 123137.xlsx")</f>
        <v>CSI Installed Base Extended Attributes Summary 04-Apr-2026 123137.xlsx</v>
      </c>
      <c r="E231" t="s">
        <v>669</v>
      </c>
      <c r="F231" t="s">
        <v>670</v>
      </c>
    </row>
    <row r="232" spans="1:6" x14ac:dyDescent="0.2">
      <c r="A232" t="s">
        <v>219</v>
      </c>
      <c r="B232" t="s">
        <v>666</v>
      </c>
      <c r="C232" t="str" s="2">
        <f>HYPERLINK("https://www.enginatics.com/reports/csi-installed-base-summary-by-organization","CSI Installed Base Summary by Organization")</f>
        <v>CSI Installed Base Summary by Organization</v>
      </c>
      <c r="D232" t="str" s="2">
        <f>HYPERLINK("https://www.enginatics.com/example/csi-installed-base-summary-by-organization","CSI Installed Base Summary by Organization 04-Apr-2026 123137.xlsx")</f>
        <v>CSI Installed Base Summary by Organization 04-Apr-2026 123137.xlsx</v>
      </c>
      <c r="E232" t="s">
        <v>671</v>
      </c>
      <c r="F232" t="s">
        <v>672</v>
      </c>
    </row>
    <row r="233" spans="1:6" x14ac:dyDescent="0.2">
      <c r="A233" t="s">
        <v>219</v>
      </c>
      <c r="B233" t="s">
        <v>51</v>
      </c>
      <c r="C233" t="str" s="2">
        <f>HYPERLINK("https://www.enginatics.com/reports/cst-ap-and-po-accrual-reconciliation","CST AP and PO Accrual Reconciliation")</f>
        <v>CST AP and PO Accrual Reconciliation</v>
      </c>
      <c r="D233" t="str" s="2">
        <f>HYPERLINK("https://www.enginatics.com/example/cst-ap-and-po-accrual-reconciliation","CST AP and PO Accrual Reconciliation 14-Jul-2021 041641.xlsx")</f>
        <v>CST AP and PO Accrual Reconciliation 14-Jul-2021 041641.xlsx</v>
      </c>
      <c r="E233" t="s">
        <v>673</v>
      </c>
      <c r="F233" t="s">
        <v>674</v>
      </c>
    </row>
    <row r="234" spans="1:6" x14ac:dyDescent="0.2">
      <c r="A234" t="s">
        <v>219</v>
      </c>
      <c r="B234" t="s">
        <v>51</v>
      </c>
      <c r="C234" t="str" s="2">
        <f>HYPERLINK("https://www.enginatics.com/reports/cst-cogs-revenue-matching","CST COGS Revenue Matching")</f>
        <v>CST COGS Revenue Matching</v>
      </c>
      <c r="D234" t="str" s="2">
        <f>HYPERLINK("https://www.enginatics.com/example/cst-cogs-revenue-matching","CST COGS Revenue Matching - Pivot Summary by COGS Account Deferred COGS Account 14-Feb-2024 152412.xlsx")</f>
        <v>CST COGS Revenue Matching - Pivot Summary by COGS Account Deferred COGS Account 14-Feb-2024 152412.xlsx</v>
      </c>
      <c r="E234" t="s">
        <v>675</v>
      </c>
      <c r="F234" t="s">
        <v>676</v>
      </c>
    </row>
    <row r="235" spans="1:6" x14ac:dyDescent="0.2">
      <c r="A235" t="s">
        <v>219</v>
      </c>
      <c r="B235" t="s">
        <v>51</v>
      </c>
      <c r="C235" t="str" s="2">
        <f>HYPERLINK("https://www.enginatics.com/reports/cst-cost-groups","CST Cost Groups")</f>
        <v>CST Cost Groups</v>
      </c>
      <c r="D235" t="str" s="2">
        <f>HYPERLINK("https://www.enginatics.com/example/cst-cost-groups","CST Cost Groups 27-Jul-2018 134345.xlsx")</f>
        <v>CST Cost Groups 27-Jul-2018 134345.xlsx</v>
      </c>
      <c r="E235" t="s">
        <v>677</v>
      </c>
      <c r="F235" t="s">
        <v>678</v>
      </c>
    </row>
    <row r="236" spans="1:6" x14ac:dyDescent="0.2">
      <c r="A236" t="s">
        <v>219</v>
      </c>
      <c r="B236" t="s">
        <v>51</v>
      </c>
      <c r="C236" t="str" s="2">
        <f>HYPERLINK("https://www.enginatics.com/reports/cst-detailed-item-cost","CST Detailed Item Cost")</f>
        <v>CST Detailed Item Cost</v>
      </c>
      <c r="D236" t="str" s="2">
        <f>HYPERLINK("https://www.enginatics.com/example/cst-detailed-item-cost","CST Detailed Item Cost 25-Jun-2019 140038.xlsx")</f>
        <v>CST Detailed Item Cost 25-Jun-2019 140038.xlsx</v>
      </c>
      <c r="E236" t="s">
        <v>679</v>
      </c>
      <c r="F236" t="s">
        <v>680</v>
      </c>
    </row>
    <row r="237" spans="1:6" x14ac:dyDescent="0.2">
      <c r="A237" t="s">
        <v>219</v>
      </c>
      <c r="B237" t="s">
        <v>51</v>
      </c>
      <c r="C237" t="str" s="2">
        <f>HYPERLINK("https://www.enginatics.com/reports/cst-inventory-value-multi-organization-item-costs","CST Inventory Value - Multi-Organization (Item Costs)")</f>
        <v>CST Inventory Value - Multi-Organization (Item Costs)</v>
      </c>
      <c r="D237" t="str" s="2">
        <f>HYPERLINK("https://www.enginatics.com/example/cst-inventory-value-multi-organization-item-costs","CST Inventory Value - Multi-Organization (Item Costs) - Pivot Organization Subinventory Item 15-Mar-2024 020251.xlsx")</f>
        <v>CST Inventory Value - Multi-Organization (Item Costs) - Pivot Organization Subinventory Item 15-Mar-2024 020251.xlsx</v>
      </c>
      <c r="E237" t="s">
        <v>681</v>
      </c>
      <c r="F237" t="s">
        <v>682</v>
      </c>
    </row>
    <row r="238" spans="1:6" x14ac:dyDescent="0.2">
      <c r="A238" t="s">
        <v>219</v>
      </c>
      <c r="B238" t="s">
        <v>51</v>
      </c>
      <c r="C238" t="str" s="2">
        <f>HYPERLINK("https://www.enginatics.com/reports/cst-inventory-value-report-by-subinventory-item-cost","CST Inventory Value Report - by Subinventory (Item Cost)")</f>
        <v>CST Inventory Value Report - by Subinventory (Item Cost)</v>
      </c>
      <c r="D238" t="str" s="2">
        <f>HYPERLINK("https://www.enginatics.com/example/cst-inventory-value-report-by-subinventory-item-cost","CST Inventory Value Report - by Subinventory (Item Cost) 21-Sep-2020 122236.xlsx")</f>
        <v>CST Inventory Value Report - by Subinventory (Item Cost) 21-Sep-2020 122236.xlsx</v>
      </c>
      <c r="E238" t="s">
        <v>683</v>
      </c>
      <c r="F238" t="s">
        <v>684</v>
      </c>
    </row>
    <row r="239" spans="1:6" x14ac:dyDescent="0.2">
      <c r="A239" t="s">
        <v>219</v>
      </c>
      <c r="B239" t="s">
        <v>51</v>
      </c>
      <c r="C239" t="str" s="2">
        <f>HYPERLINK("https://www.enginatics.com/reports/cst-item-cost-reports","CST Item Cost Reports")</f>
        <v>CST Item Cost Reports</v>
      </c>
      <c r="D239" t="str" s="2">
        <f>HYPERLINK("https://www.enginatics.com/example/cst-item-cost-reports","CST Item Cost Reports 15-Jun-2019 123903.xlsx")</f>
        <v>CST Item Cost Reports 15-Jun-2019 123903.xlsx</v>
      </c>
      <c r="E239" t="s">
        <v>685</v>
      </c>
      <c r="F239" t="s">
        <v>686</v>
      </c>
    </row>
    <row r="240" spans="1:6" x14ac:dyDescent="0.2">
      <c r="A240" t="s">
        <v>219</v>
      </c>
      <c r="B240" t="s">
        <v>51</v>
      </c>
      <c r="C240" t="str" s="2">
        <f>HYPERLINK("https://www.enginatics.com/reports/cst-miscellaneous-accrual-reconciliation","CST Miscellaneous Accrual Reconciliation")</f>
        <v>CST Miscellaneous Accrual Reconciliation</v>
      </c>
      <c r="D240" t="str" s="2">
        <f>HYPERLINK("https://www.enginatics.com/example/cst-miscellaneous-accrual-reconciliation","CST Miscellaneous Accrual Reconciliation 14-Jul-2021 041456.xlsx")</f>
        <v>CST Miscellaneous Accrual Reconciliation 14-Jul-2021 041456.xlsx</v>
      </c>
      <c r="E240" t="s">
        <v>687</v>
      </c>
      <c r="F240" t="s">
        <v>688</v>
      </c>
    </row>
    <row r="241" spans="1:6" x14ac:dyDescent="0.2">
      <c r="A241" t="s">
        <v>219</v>
      </c>
      <c r="B241" t="s">
        <v>51</v>
      </c>
      <c r="C241" t="str" s="2">
        <f>HYPERLINK("https://www.enginatics.com/reports/cst-period-close-subinventory-value","CST Period Close Subinventory Value")</f>
        <v>CST Period Close Subinventory Value</v>
      </c>
      <c r="D241" t="str" s="2">
        <f>HYPERLINK("https://www.enginatics.com/example/cst-period-close-subinventory-value","CST Period Close Subinventory Value 27-Jul-2018 095956.xlsx")</f>
        <v>CST Period Close Subinventory Value 27-Jul-2018 095956.xlsx</v>
      </c>
      <c r="E241" t="s">
        <v>689</v>
      </c>
      <c r="F241" t="s">
        <v>690</v>
      </c>
    </row>
    <row r="242" spans="1:6" x14ac:dyDescent="0.2">
      <c r="A242" t="s">
        <v>219</v>
      </c>
      <c r="B242" t="s">
        <v>51</v>
      </c>
      <c r="C242" t="str" s="2">
        <f>HYPERLINK("https://www.enginatics.com/reports/cst-period-close-subinventory-value-summary","CST Period Close Subinventory Value Summary")</f>
        <v>CST Period Close Subinventory Value Summary</v>
      </c>
      <c r="D242" t="str" s="2">
        <f>HYPERLINK("https://www.enginatics.com/example/cst-period-close-subinventory-value-summary","CST Period Close Subinventory Value Summary 06-Jul-2019 173524.xlsx")</f>
        <v>CST Period Close Subinventory Value Summary 06-Jul-2019 173524.xlsx</v>
      </c>
      <c r="E242" t="s">
        <v>691</v>
      </c>
      <c r="F242" t="s">
        <v>692</v>
      </c>
    </row>
    <row r="243" spans="1:6" x14ac:dyDescent="0.2">
      <c r="A243" t="s">
        <v>219</v>
      </c>
      <c r="B243" t="s">
        <v>51</v>
      </c>
      <c r="C243" t="str" s="2">
        <f>HYPERLINK("https://www.enginatics.com/reports/cst-periodic-inventory-value","CST Periodic Inventory Value")</f>
        <v>CST Periodic Inventory Value</v>
      </c>
      <c r="D243" t="str" s="2">
        <f>HYPERLINK("https://www.enginatics.com/example/cst-periodic-inventory-value","CST Periodic Inventory Value - Detail 11-Sep-2024 062243.xlsx")</f>
        <v>CST Periodic Inventory Value - Detail 11-Sep-2024 062243.xlsx</v>
      </c>
      <c r="E243" t="s">
        <v>693</v>
      </c>
      <c r="F243" t="s">
        <v>694</v>
      </c>
    </row>
    <row r="244" spans="1:6" x14ac:dyDescent="0.2">
      <c r="A244" t="s">
        <v>219</v>
      </c>
      <c r="B244" t="s">
        <v>51</v>
      </c>
      <c r="C244" t="str" s="2">
        <f>HYPERLINK("https://www.enginatics.com/reports/cst-subinventory-account-value-multi-org","CST Subinventory Account Value - Multi-Org")</f>
        <v>CST Subinventory Account Value - Multi-Org</v>
      </c>
      <c r="D244" t="str" s="2">
        <f>HYPERLINK("https://www.enginatics.com/example/cst-subinventory-account-value-multi-org","CST Subinventory Account Value - Multi-Org 04-Apr-2026 010937.xlsx")</f>
        <v>CST Subinventory Account Value - Multi-Org 04-Apr-2026 010937.xlsx</v>
      </c>
      <c r="E244" t="s">
        <v>695</v>
      </c>
      <c r="F244" t="s">
        <v>696</v>
      </c>
    </row>
    <row r="245" spans="1:6" x14ac:dyDescent="0.2">
      <c r="A245" t="s">
        <v>219</v>
      </c>
      <c r="B245" t="s">
        <v>51</v>
      </c>
      <c r="C245" t="str" s="2">
        <f>HYPERLINK("https://www.enginatics.com/reports/cst-supply-chain-indented-bills-of-material-cost","CST Supply Chain Indented Bills of Material Cost")</f>
        <v>CST Supply Chain Indented Bills of Material Cost</v>
      </c>
      <c r="D245" t="str" s="2">
        <f>HYPERLINK("https://www.enginatics.com/example/cst-supply-chain-indented-bills-of-material-cost","CST Supply Chain Indented Bills of Material Cost - Item Cost Detail 31-Oct-2023 055034 (1).xlsx")</f>
        <v>CST Supply Chain Indented Bills of Material Cost - Item Cost Detail 31-Oct-2023 055034 (1).xlsx</v>
      </c>
      <c r="E245" t="s">
        <v>697</v>
      </c>
      <c r="F245" t="s">
        <v>698</v>
      </c>
    </row>
    <row r="246" spans="1:6" x14ac:dyDescent="0.2">
      <c r="A246" t="s">
        <v>219</v>
      </c>
      <c r="B246" t="s">
        <v>51</v>
      </c>
      <c r="C246" t="str" s="2">
        <f>HYPERLINK("https://www.enginatics.com/reports/cst-uninvoiced-receipts","CST Uninvoiced Receipts")</f>
        <v>CST Uninvoiced Receipts</v>
      </c>
      <c r="D246" t="str" s="2">
        <f>HYPERLINK("https://www.enginatics.com/example/cst-uninvoiced-receipts","CST Uninvoiced Receipts - Accruals by PO Release Distributions 27-Dec-2024 100620.xlsx")</f>
        <v>CST Uninvoiced Receipts - Accruals by PO Release Distributions 27-Dec-2024 100620.xlsx</v>
      </c>
      <c r="E246" t="s">
        <v>699</v>
      </c>
      <c r="F246" t="s">
        <v>700</v>
      </c>
    </row>
    <row r="247" spans="1:6" x14ac:dyDescent="0.2">
      <c r="A247" t="s">
        <v>219</v>
      </c>
      <c r="B247" t="s">
        <v>701</v>
      </c>
      <c r="C247" t="str" s="2">
        <f>HYPERLINK("https://www.enginatics.com/reports/dba-awr-active-session-history","DBA AWR Active Session History")</f>
        <v>DBA AWR Active Session History</v>
      </c>
      <c r="D247" t="str" s="2">
        <f>HYPERLINK("https://www.enginatics.com/example/dba-awr-active-session-history","DBA AWR Active Session History 11-May-2017 125507.xlsx")</f>
        <v>DBA AWR Active Session History 11-May-2017 125507.xlsx</v>
      </c>
      <c r="E247" t="s">
        <v>702</v>
      </c>
      <c r="F247" t="s">
        <v>703</v>
      </c>
    </row>
    <row r="248" spans="1:6" x14ac:dyDescent="0.2">
      <c r="A248" t="s">
        <v>219</v>
      </c>
      <c r="B248" t="s">
        <v>701</v>
      </c>
      <c r="C248" t="str" s="2">
        <f>HYPERLINK("https://www.enginatics.com/reports/dba-awr-blocking-session-summary","DBA AWR Blocking Session Summary")</f>
        <v>DBA AWR Blocking Session Summary</v>
      </c>
      <c r="D248" t="str" s="2">
        <f>HYPERLINK("https://www.enginatics.com/example/dba-awr-blocking-session-summary","DBA AWR Blocking Session Summary 21-Jan-2019 095329.xlsx")</f>
        <v>DBA AWR Blocking Session Summary 21-Jan-2019 095329.xlsx</v>
      </c>
      <c r="E248" t="s">
        <v>704</v>
      </c>
      <c r="F248" t="s">
        <v>705</v>
      </c>
    </row>
    <row r="249" spans="1:6" x14ac:dyDescent="0.2">
      <c r="A249" t="s">
        <v>219</v>
      </c>
      <c r="B249" t="s">
        <v>701</v>
      </c>
      <c r="C249" t="str" s="2">
        <f>HYPERLINK("https://www.enginatics.com/reports/dba-awr-cpu-load-active-session-history","DBA AWR CPU Load (active session history)")</f>
        <v>DBA AWR CPU Load (active session history)</v>
      </c>
      <c r="D249" t="str" s="2">
        <f>HYPERLINK("https://www.enginatics.com/example/dba-awr-cpu-load-active-session-history","DBA AWR CPU Load (active session history) 22-Dec-2025 083150.xlsx")</f>
        <v>DBA AWR CPU Load (active session history) 22-Dec-2025 083150.xlsx</v>
      </c>
      <c r="E249" t="s">
        <v>706</v>
      </c>
      <c r="F249" t="s">
        <v>707</v>
      </c>
    </row>
    <row r="250" spans="1:6" x14ac:dyDescent="0.2">
      <c r="A250" t="s">
        <v>219</v>
      </c>
      <c r="B250" t="s">
        <v>701</v>
      </c>
      <c r="C250" t="str" s="2">
        <f>HYPERLINK("https://www.enginatics.com/reports/dba-awr-cpu-vs-wait-time-summary","DBA AWR CPU vs Wait Time Summary")</f>
        <v>DBA AWR CPU vs Wait Time Summary</v>
      </c>
      <c r="D250" t="str" s="2">
        <f>HYPERLINK("https://www.enginatics.com/example/dba-awr-cpu-vs-wait-time-summary","DBA AWR CPU vs Wait Time Summary 22-Dec-2025 083306.xlsx")</f>
        <v>DBA AWR CPU vs Wait Time Summary 22-Dec-2025 083306.xlsx</v>
      </c>
      <c r="E250" t="s">
        <v>708</v>
      </c>
      <c r="F250" t="s">
        <v>709</v>
      </c>
    </row>
    <row r="251" spans="1:6" x14ac:dyDescent="0.2">
      <c r="A251" t="s">
        <v>219</v>
      </c>
      <c r="B251" t="s">
        <v>701</v>
      </c>
      <c r="C251" t="str" s="2">
        <f>HYPERLINK("https://www.enginatics.com/reports/dba-awr-interconnect-traffic","DBA AWR Interconnect Traffic")</f>
        <v>DBA AWR Interconnect Traffic</v>
      </c>
      <c r="D251" t="str" s="2">
        <f>HYPERLINK("https://www.enginatics.com/example/dba-awr-interconnect-traffic","DBA AWR Interconnect Traffic 24-Aug-2024 132126.xlsx")</f>
        <v>DBA AWR Interconnect Traffic 24-Aug-2024 132126.xlsx</v>
      </c>
      <c r="E251" t="s">
        <v>710</v>
      </c>
      <c r="F251" t="s">
        <v>711</v>
      </c>
    </row>
    <row r="252" spans="1:6" x14ac:dyDescent="0.2">
      <c r="A252" t="s">
        <v>219</v>
      </c>
      <c r="B252" t="s">
        <v>701</v>
      </c>
      <c r="C252" t="str" s="2">
        <f>HYPERLINK("https://www.enginatics.com/reports/dba-awr-latch-summary","DBA AWR Latch Summary")</f>
        <v>DBA AWR Latch Summary</v>
      </c>
      <c r="D252" t="str" s="2">
        <f>HYPERLINK("https://www.enginatics.com/example/dba-awr-latch-summary","DBA AWR Latch Summary 26-Nov-2018 223201.xlsx")</f>
        <v>DBA AWR Latch Summary 26-Nov-2018 223201.xlsx</v>
      </c>
      <c r="E252" t="s">
        <v>712</v>
      </c>
      <c r="F252" t="s">
        <v>713</v>
      </c>
    </row>
    <row r="253" spans="1:6" x14ac:dyDescent="0.2">
      <c r="A253" t="s">
        <v>219</v>
      </c>
      <c r="B253" t="s">
        <v>701</v>
      </c>
      <c r="C253" t="str" s="2">
        <f>HYPERLINK("https://www.enginatics.com/reports/dba-awr-latch-by-time","DBA AWR Latch by Time")</f>
        <v>DBA AWR Latch by Time</v>
      </c>
      <c r="D253" t="str" s="2">
        <f>HYPERLINK("https://www.enginatics.com/example/dba-awr-latch-by-time","DBA AWR Latch by Time 26-Nov-2018 201456.xlsx")</f>
        <v>DBA AWR Latch by Time 26-Nov-2018 201456.xlsx</v>
      </c>
      <c r="E253" t="s">
        <v>714</v>
      </c>
      <c r="F253" t="s">
        <v>715</v>
      </c>
    </row>
    <row r="254" spans="1:6" x14ac:dyDescent="0.2">
      <c r="A254" t="s">
        <v>219</v>
      </c>
      <c r="B254" t="s">
        <v>701</v>
      </c>
      <c r="C254" t="str" s="2">
        <f>HYPERLINK("https://www.enginatics.com/reports/dba-awr-pga-history","DBA AWR PGA History")</f>
        <v>DBA AWR PGA History</v>
      </c>
      <c r="D254" t="str" s="2">
        <f>HYPERLINK("https://www.enginatics.com/example/dba-awr-pga-history","DBA AWR PGA History 29-Jul-2018 094718.xlsx")</f>
        <v>DBA AWR PGA History 29-Jul-2018 094718.xlsx</v>
      </c>
      <c r="E254" t="s">
        <v>716</v>
      </c>
      <c r="F254" t="s">
        <v>717</v>
      </c>
    </row>
    <row r="255" spans="1:6" x14ac:dyDescent="0.2">
      <c r="A255" t="s">
        <v>219</v>
      </c>
      <c r="B255" t="s">
        <v>701</v>
      </c>
      <c r="C255" t="str" s="2">
        <f>HYPERLINK("https://www.enginatics.com/reports/dba-awr-sql-execution-plan-history","DBA AWR SQL Execution Plan History")</f>
        <v>DBA AWR SQL Execution Plan History</v>
      </c>
      <c r="D255" t="str" s="2">
        <f>HYPERLINK("https://www.enginatics.com/example/dba-awr-sql-execution-plan-history","DBA AWR SQL Execution Plan History 22-Dec-2025 083522.xlsx")</f>
        <v>DBA AWR SQL Execution Plan History 22-Dec-2025 083522.xlsx</v>
      </c>
      <c r="E255" t="s">
        <v>718</v>
      </c>
      <c r="F255" t="s">
        <v>719</v>
      </c>
    </row>
    <row r="256" spans="1:6" x14ac:dyDescent="0.2">
      <c r="A256" t="s">
        <v>219</v>
      </c>
      <c r="B256" t="s">
        <v>701</v>
      </c>
      <c r="C256" t="str" s="2">
        <f>HYPERLINK("https://www.enginatics.com/reports/dba-awr-sql-performance-summary","DBA AWR SQL Performance Summary")</f>
        <v>DBA AWR SQL Performance Summary</v>
      </c>
      <c r="D256" t="str" s="2">
        <f>HYPERLINK("https://www.enginatics.com/example/dba-awr-sql-performance-summary","DBA AWR SQL Performance Summary 25-Jan-2019 160632.xlsx")</f>
        <v>DBA AWR SQL Performance Summary 25-Jan-2019 160632.xlsx</v>
      </c>
      <c r="E256" t="s">
        <v>720</v>
      </c>
      <c r="F256" t="s">
        <v>721</v>
      </c>
    </row>
    <row r="257" spans="1:6" x14ac:dyDescent="0.2">
      <c r="A257" t="s">
        <v>219</v>
      </c>
      <c r="B257" t="s">
        <v>701</v>
      </c>
      <c r="C257" t="str" s="2">
        <f>HYPERLINK("https://www.enginatics.com/reports/dba-awr-settings","DBA AWR Settings")</f>
        <v>DBA AWR Settings</v>
      </c>
      <c r="D257" t="str" s="2">
        <f>HYPERLINK("https://www.enginatics.com/example/dba-awr-settings","DBA AWR Settings 11-May-2017 125144.xlsx")</f>
        <v>DBA AWR Settings 11-May-2017 125144.xlsx</v>
      </c>
      <c r="E257" t="s">
        <v>722</v>
      </c>
      <c r="F257" t="s">
        <v>723</v>
      </c>
    </row>
    <row r="258" spans="1:6" x14ac:dyDescent="0.2">
      <c r="A258" t="s">
        <v>219</v>
      </c>
      <c r="B258" t="s">
        <v>701</v>
      </c>
      <c r="C258" t="str" s="2">
        <f>HYPERLINK("https://www.enginatics.com/reports/dba-awr-system-metrics-summary","DBA AWR System Metrics Summary")</f>
        <v>DBA AWR System Metrics Summary</v>
      </c>
      <c r="D258" t="str" s="2">
        <f>HYPERLINK("https://www.enginatics.com/example/dba-awr-system-metrics-summary","DBA AWR System Metrics Summary 13-Jul-2018 173115.xlsx")</f>
        <v>DBA AWR System Metrics Summary 13-Jul-2018 173115.xlsx</v>
      </c>
      <c r="E258" t="s">
        <v>724</v>
      </c>
      <c r="F258" t="s">
        <v>725</v>
      </c>
    </row>
    <row r="259" spans="1:6" x14ac:dyDescent="0.2">
      <c r="A259" t="s">
        <v>219</v>
      </c>
      <c r="B259" t="s">
        <v>701</v>
      </c>
      <c r="C259" t="str" s="2">
        <f>HYPERLINK("https://www.enginatics.com/reports/dba-awr-system-time-percentages","DBA AWR System Time Percentages")</f>
        <v>DBA AWR System Time Percentages</v>
      </c>
      <c r="D259" t="str" s="2">
        <f>HYPERLINK("https://www.enginatics.com/example/dba-awr-system-time-percentages","DBA AWR System Time Percentages 22-Dec-2025 083614.xlsx")</f>
        <v>DBA AWR System Time Percentages 22-Dec-2025 083614.xlsx</v>
      </c>
      <c r="E259" t="s">
        <v>726</v>
      </c>
      <c r="F259" t="s">
        <v>727</v>
      </c>
    </row>
    <row r="260" spans="1:6" x14ac:dyDescent="0.2">
      <c r="A260" t="s">
        <v>219</v>
      </c>
      <c r="B260" t="s">
        <v>701</v>
      </c>
      <c r="C260" t="str" s="2">
        <f>HYPERLINK("https://www.enginatics.com/reports/dba-awr-system-time-summary","DBA AWR System Time Summary")</f>
        <v>DBA AWR System Time Summary</v>
      </c>
      <c r="D260" t="str" s="2">
        <f>HYPERLINK("https://www.enginatics.com/example/dba-awr-system-time-summary","DBA AWR System Time Summary 13-Jul-2018 173230.xlsx")</f>
        <v>DBA AWR System Time Summary 13-Jul-2018 173230.xlsx</v>
      </c>
      <c r="E260" t="s">
        <v>728</v>
      </c>
      <c r="F260" t="s">
        <v>729</v>
      </c>
    </row>
    <row r="261" spans="1:6" x14ac:dyDescent="0.2">
      <c r="A261" t="s">
        <v>219</v>
      </c>
      <c r="B261" t="s">
        <v>701</v>
      </c>
      <c r="C261" t="str" s="2">
        <f>HYPERLINK("https://www.enginatics.com/reports/dba-awr-tablespace-usage","DBA AWR Tablespace Usage")</f>
        <v>DBA AWR Tablespace Usage</v>
      </c>
      <c r="D261" t="str" s="2">
        <f>HYPERLINK("https://www.enginatics.com/example/dba-awr-tablespace-usage","DBA AWR Tablespace Usage 18-Jan-2018 223607.xlsx")</f>
        <v>DBA AWR Tablespace Usage 18-Jan-2018 223607.xlsx</v>
      </c>
      <c r="E261" t="s">
        <v>730</v>
      </c>
      <c r="F261" t="s">
        <v>731</v>
      </c>
    </row>
    <row r="262" spans="1:6" x14ac:dyDescent="0.2">
      <c r="A262" t="s">
        <v>219</v>
      </c>
      <c r="B262" t="s">
        <v>701</v>
      </c>
      <c r="C262" t="str" s="2">
        <f>HYPERLINK("https://www.enginatics.com/reports/dba-awr-wait-class-by-time","DBA AWR Wait Class by Time")</f>
        <v>DBA AWR Wait Class by Time</v>
      </c>
      <c r="D262" t="str" s="2">
        <f>HYPERLINK("https://www.enginatics.com/example/dba-awr-wait-class-by-time","DBA AWR Wait Class by Time 22-Dec-2025 083647.xlsx")</f>
        <v>DBA AWR Wait Class by Time 22-Dec-2025 083647.xlsx</v>
      </c>
      <c r="E262" t="s">
        <v>732</v>
      </c>
      <c r="F262" t="s">
        <v>733</v>
      </c>
    </row>
    <row r="263" spans="1:6" x14ac:dyDescent="0.2">
      <c r="A263" t="s">
        <v>219</v>
      </c>
      <c r="B263" t="s">
        <v>701</v>
      </c>
      <c r="C263" t="str" s="2">
        <f>HYPERLINK("https://www.enginatics.com/reports/dba-awr-wait-event-summary","DBA AWR Wait Event Summary")</f>
        <v>DBA AWR Wait Event Summary</v>
      </c>
      <c r="D263" t="str" s="2">
        <f>HYPERLINK("https://www.enginatics.com/example/dba-awr-wait-event-summary","DBA AWR Wait Event Summary 22-Dec-2025 083752.xlsx")</f>
        <v>DBA AWR Wait Event Summary 22-Dec-2025 083752.xlsx</v>
      </c>
      <c r="E263" t="s">
        <v>734</v>
      </c>
      <c r="F263" t="s">
        <v>735</v>
      </c>
    </row>
    <row r="264" spans="1:6" x14ac:dyDescent="0.2">
      <c r="A264" t="s">
        <v>219</v>
      </c>
      <c r="B264" t="s">
        <v>701</v>
      </c>
      <c r="C264" t="str" s="2">
        <f>HYPERLINK("https://www.enginatics.com/reports/dba-awr-wait-event-summary-active-session-history","DBA AWR Wait Event Summary (active session history)")</f>
        <v>DBA AWR Wait Event Summary (active session history)</v>
      </c>
      <c r="D264" t="str" s="2">
        <f>HYPERLINK("https://www.enginatics.com/example/dba-awr-wait-event-summary-active-session-history","DBA AWR Wait Event Summary (active session history) 23-Sep-2025 104849.xlsx")</f>
        <v>DBA AWR Wait Event Summary (active session history) 23-Sep-2025 104849.xlsx</v>
      </c>
      <c r="E264" t="s">
        <v>736</v>
      </c>
      <c r="F264" t="s">
        <v>737</v>
      </c>
    </row>
    <row r="265" spans="1:6" x14ac:dyDescent="0.2">
      <c r="A265" t="s">
        <v>219</v>
      </c>
      <c r="B265" t="s">
        <v>701</v>
      </c>
      <c r="C265" t="str" s="2">
        <f>HYPERLINK("https://www.enginatics.com/reports/dba-alert-log","DBA Alert Log")</f>
        <v>DBA Alert Log</v>
      </c>
      <c r="D265" t="str" s="2">
        <f>HYPERLINK("https://www.enginatics.com/example/dba-alert-log","DBA Alert Log - Default 08-Mar-2024 094258.xlsx")</f>
        <v>DBA Alert Log - Default 08-Mar-2024 094258.xlsx</v>
      </c>
      <c r="E265" t="s">
        <v>738</v>
      </c>
      <c r="F265" t="s">
        <v>739</v>
      </c>
    </row>
    <row r="266" spans="1:6" x14ac:dyDescent="0.2">
      <c r="A266" t="s">
        <v>219</v>
      </c>
      <c r="B266" t="s">
        <v>701</v>
      </c>
      <c r="C266" t="str" s="2">
        <f>HYPERLINK("https://www.enginatics.com/reports/dba-archive-redo-log-rate","DBA Archive / Redo Log Rate")</f>
        <v>DBA Archive / Redo Log Rate</v>
      </c>
      <c r="D266" t="str" s="2">
        <f>HYPERLINK("https://www.enginatics.com/example/dba-archive-redo-log-rate","DBA Archive Redo Log Rate 13-Jul-2018 173740.xlsx")</f>
        <v>DBA Archive Redo Log Rate 13-Jul-2018 173740.xlsx</v>
      </c>
      <c r="E266" t="s">
        <v>740</v>
      </c>
      <c r="F266" t="s">
        <v>741</v>
      </c>
    </row>
    <row r="267" spans="1:6" x14ac:dyDescent="0.2">
      <c r="A267" t="s">
        <v>219</v>
      </c>
      <c r="B267" t="s">
        <v>701</v>
      </c>
      <c r="C267" t="str" s="2">
        <f>HYPERLINK("https://www.enginatics.com/reports/dba-automated-maintenance-tasks","DBA Automated Maintenance Tasks")</f>
        <v>DBA Automated Maintenance Tasks</v>
      </c>
      <c r="E267" t="s">
        <v>742</v>
      </c>
      <c r="F267" t="s">
        <v>743</v>
      </c>
    </row>
    <row r="268" spans="1:6" x14ac:dyDescent="0.2">
      <c r="A268" t="s">
        <v>219</v>
      </c>
      <c r="B268" t="s">
        <v>701</v>
      </c>
      <c r="C268" t="str" s="2">
        <f>HYPERLINK("https://www.enginatics.com/reports/dba-blocking-sessions","DBA Blocking Sessions")</f>
        <v>DBA Blocking Sessions</v>
      </c>
      <c r="D268" t="str" s="2">
        <f>HYPERLINK("https://www.enginatics.com/example/dba-blocking-sessions","DBA Blocking Sessions 06-May-2020 103312.xlsx")</f>
        <v>DBA Blocking Sessions 06-May-2020 103312.xlsx</v>
      </c>
      <c r="E268" t="s">
        <v>744</v>
      </c>
      <c r="F268" t="s">
        <v>745</v>
      </c>
    </row>
    <row r="269" spans="1:6" x14ac:dyDescent="0.2">
      <c r="A269" t="s">
        <v>219</v>
      </c>
      <c r="B269" t="s">
        <v>701</v>
      </c>
      <c r="C269" t="str" s="2">
        <f>HYPERLINK("https://www.enginatics.com/reports/dba-cpu-benchmark1","DBA CPU Benchmark1")</f>
        <v>DBA CPU Benchmark1</v>
      </c>
      <c r="E269" t="s">
        <v>746</v>
      </c>
      <c r="F269" t="s">
        <v>747</v>
      </c>
    </row>
    <row r="270" spans="1:6" x14ac:dyDescent="0.2">
      <c r="A270" t="s">
        <v>219</v>
      </c>
      <c r="B270" t="s">
        <v>701</v>
      </c>
      <c r="C270" t="str" s="2">
        <f>HYPERLINK("https://www.enginatics.com/reports/dba-cpu-benchmark2","DBA CPU Benchmark2")</f>
        <v>DBA CPU Benchmark2</v>
      </c>
      <c r="D270" t="str" s="2">
        <f>HYPERLINK("https://www.enginatics.com/example/dba-cpu-benchmark2","DBA CPU Benchmark2 04-Apr-2026 123137.xlsx")</f>
        <v>DBA CPU Benchmark2 04-Apr-2026 123137.xlsx</v>
      </c>
      <c r="E270" t="s">
        <v>748</v>
      </c>
      <c r="F270" t="s">
        <v>749</v>
      </c>
    </row>
    <row r="271" spans="1:6" x14ac:dyDescent="0.2">
      <c r="A271" t="s">
        <v>219</v>
      </c>
      <c r="B271" t="s">
        <v>701</v>
      </c>
      <c r="C271" t="str" s="2">
        <f>HYPERLINK("https://www.enginatics.com/reports/dba-cpu-benchmark3","DBA CPU Benchmark3")</f>
        <v>DBA CPU Benchmark3</v>
      </c>
      <c r="D271" t="str" s="2">
        <f>HYPERLINK("https://www.enginatics.com/example/dba-cpu-benchmark3","DBA CPU Benchmark3 04-Apr-2026 123137.xlsx")</f>
        <v>DBA CPU Benchmark3 04-Apr-2026 123137.xlsx</v>
      </c>
      <c r="E271" t="s">
        <v>750</v>
      </c>
      <c r="F271" t="s">
        <v>751</v>
      </c>
    </row>
    <row r="272" spans="1:6" x14ac:dyDescent="0.2">
      <c r="A272" t="s">
        <v>219</v>
      </c>
      <c r="B272" t="s">
        <v>701</v>
      </c>
      <c r="C272" t="str" s="2">
        <f>HYPERLINK("https://www.enginatics.com/reports/dba-database-parameter-validation","DBA Database Parameter Validation")</f>
        <v>DBA Database Parameter Validation</v>
      </c>
      <c r="D272" t="str" s="2">
        <f>HYPERLINK("https://www.enginatics.com/example/dba-database-parameter-validation","DBA Database Parameter Validation 16-Jun-2026 163655.xlsx")</f>
        <v>DBA Database Parameter Validation 16-Jun-2026 163655.xlsx</v>
      </c>
      <c r="E272" t="s">
        <v>752</v>
      </c>
      <c r="F272" t="s">
        <v>753</v>
      </c>
    </row>
    <row r="273" spans="1:6" x14ac:dyDescent="0.2">
      <c r="A273" t="s">
        <v>219</v>
      </c>
      <c r="B273" t="s">
        <v>701</v>
      </c>
      <c r="C273" t="str" s="2">
        <f>HYPERLINK("https://www.enginatics.com/reports/dba-dependencies-used-by","DBA Dependencies (used by)")</f>
        <v>DBA Dependencies (used by)</v>
      </c>
      <c r="D273" t="str" s="2">
        <f>HYPERLINK("https://www.enginatics.com/example/dba-dependencies-used-by","DBA Dependencies (used by) 12-Dec-2020 224509.xlsx")</f>
        <v>DBA Dependencies (used by) 12-Dec-2020 224509.xlsx</v>
      </c>
      <c r="E273" t="s">
        <v>754</v>
      </c>
      <c r="F273" t="s">
        <v>755</v>
      </c>
    </row>
    <row r="274" spans="1:6" x14ac:dyDescent="0.2">
      <c r="A274" t="s">
        <v>219</v>
      </c>
      <c r="B274" t="s">
        <v>701</v>
      </c>
      <c r="C274" t="str" s="2">
        <f>HYPERLINK("https://www.enginatics.com/reports/dba-dependencies-uses","DBA Dependencies (uses)")</f>
        <v>DBA Dependencies (uses)</v>
      </c>
      <c r="D274" t="str" s="2">
        <f>HYPERLINK("https://www.enginatics.com/example/dba-dependencies-uses","DBA Dependencies (uses) 12-Dec-2020 231856.xlsx")</f>
        <v>DBA Dependencies (uses) 12-Dec-2020 231856.xlsx</v>
      </c>
      <c r="E274" t="s">
        <v>756</v>
      </c>
      <c r="F274" t="s">
        <v>757</v>
      </c>
    </row>
    <row r="275" spans="1:6" x14ac:dyDescent="0.2">
      <c r="A275" t="s">
        <v>219</v>
      </c>
      <c r="B275" t="s">
        <v>701</v>
      </c>
      <c r="C275" t="str" s="2">
        <f>HYPERLINK("https://www.enginatics.com/reports/dba-editioned-object-summary","DBA Editioned Object Summary")</f>
        <v>DBA Editioned Object Summary</v>
      </c>
      <c r="D275" t="str" s="2">
        <f>HYPERLINK("https://www.enginatics.com/example/dba-editioned-object-summary","DBA Editioned Object Summary 22-Dec-2025 083843.xlsx")</f>
        <v>DBA Editioned Object Summary 22-Dec-2025 083843.xlsx</v>
      </c>
      <c r="E275" t="s">
        <v>758</v>
      </c>
      <c r="F275" t="s">
        <v>759</v>
      </c>
    </row>
    <row r="276" spans="1:6" x14ac:dyDescent="0.2">
      <c r="A276" t="s">
        <v>219</v>
      </c>
      <c r="B276" t="s">
        <v>701</v>
      </c>
      <c r="C276" t="str" s="2">
        <f>HYPERLINK("https://www.enginatics.com/reports/dba-editions","DBA Editions")</f>
        <v>DBA Editions</v>
      </c>
      <c r="D276" t="str" s="2">
        <f>HYPERLINK("https://www.enginatics.com/example/dba-editions","DBA Editions 22-Dec-2025 083921.xlsx")</f>
        <v>DBA Editions 22-Dec-2025 083921.xlsx</v>
      </c>
      <c r="E276" t="s">
        <v>760</v>
      </c>
      <c r="F276" t="s">
        <v>761</v>
      </c>
    </row>
    <row r="277" spans="1:6" x14ac:dyDescent="0.2">
      <c r="A277" t="s">
        <v>219</v>
      </c>
      <c r="B277" t="s">
        <v>701</v>
      </c>
      <c r="C277" t="str" s="2">
        <f>HYPERLINK("https://www.enginatics.com/reports/dba-external-table-creation","DBA External Table Creation")</f>
        <v>DBA External Table Creation</v>
      </c>
      <c r="D277" t="str" s="2">
        <f>HYPERLINK("https://www.enginatics.com/example/dba-external-table-creation","DBA External Table Creation 04-Apr-2026 123137.xlsx")</f>
        <v>DBA External Table Creation 04-Apr-2026 123137.xlsx</v>
      </c>
      <c r="F277" t="s">
        <v>762</v>
      </c>
    </row>
    <row r="278" spans="1:6" x14ac:dyDescent="0.2">
      <c r="A278" t="s">
        <v>219</v>
      </c>
      <c r="B278" t="s">
        <v>701</v>
      </c>
      <c r="C278" t="str" s="2">
        <f>HYPERLINK("https://www.enginatics.com/reports/dba-feature-usage-statistics","DBA Feature Usage Statistics")</f>
        <v>DBA Feature Usage Statistics</v>
      </c>
      <c r="D278" t="str" s="2">
        <f>HYPERLINK("https://www.enginatics.com/example/dba-feature-usage-statistics","DBA Feature Usage Statistics 22-Dec-2025 084053.xlsx")</f>
        <v>DBA Feature Usage Statistics 22-Dec-2025 084053.xlsx</v>
      </c>
      <c r="E278" t="s">
        <v>763</v>
      </c>
      <c r="F278" t="s">
        <v>764</v>
      </c>
    </row>
    <row r="279" spans="1:6" x14ac:dyDescent="0.2">
      <c r="A279" t="s">
        <v>219</v>
      </c>
      <c r="B279" t="s">
        <v>701</v>
      </c>
      <c r="C279" t="str" s="2">
        <f>HYPERLINK("https://www.enginatics.com/reports/dba-hierarchical-profiler-data","DBA Hierarchical Profiler Data")</f>
        <v>DBA Hierarchical Profiler Data</v>
      </c>
      <c r="D279" t="str" s="2">
        <f>HYPERLINK("https://www.enginatics.com/example/dba-hierarchical-profiler-data","DBA Hierarchical Profiler Data 14-Dec-2025 080657.xlsx")</f>
        <v>DBA Hierarchical Profiler Data 14-Dec-2025 080657.xlsx</v>
      </c>
      <c r="E279" t="s">
        <v>765</v>
      </c>
      <c r="F279" t="s">
        <v>766</v>
      </c>
    </row>
    <row r="280" spans="1:6" x14ac:dyDescent="0.2">
      <c r="A280" t="s">
        <v>219</v>
      </c>
      <c r="B280" t="s">
        <v>701</v>
      </c>
      <c r="C280" t="str" s="2">
        <f>HYPERLINK("https://www.enginatics.com/reports/dba-index-columns","DBA Index Columns")</f>
        <v>DBA Index Columns</v>
      </c>
      <c r="D280" t="str" s="2">
        <f>HYPERLINK("https://www.enginatics.com/example/dba-index-columns","DBA Index Columns 22-Dec-2025 084146.xlsx")</f>
        <v>DBA Index Columns 22-Dec-2025 084146.xlsx</v>
      </c>
      <c r="F280" t="s">
        <v>767</v>
      </c>
    </row>
    <row r="281" spans="1:6" x14ac:dyDescent="0.2">
      <c r="A281" t="s">
        <v>219</v>
      </c>
      <c r="B281" t="s">
        <v>701</v>
      </c>
      <c r="C281" t="str" s="2">
        <f>HYPERLINK("https://www.enginatics.com/reports/dba-jobs","DBA Jobs")</f>
        <v>DBA Jobs</v>
      </c>
      <c r="D281" t="str" s="2">
        <f>HYPERLINK("https://www.enginatics.com/example/dba-jobs","DBA Jobs 22-Dec-2025 084233.xlsx")</f>
        <v>DBA Jobs 22-Dec-2025 084233.xlsx</v>
      </c>
      <c r="F281" t="s">
        <v>768</v>
      </c>
    </row>
    <row r="282" spans="1:6" x14ac:dyDescent="0.2">
      <c r="A282" t="s">
        <v>219</v>
      </c>
      <c r="B282" t="s">
        <v>701</v>
      </c>
      <c r="C282" t="str" s="2">
        <f>HYPERLINK("https://www.enginatics.com/reports/dba-log-switches","DBA Log Switches")</f>
        <v>DBA Log Switches</v>
      </c>
      <c r="D282" t="str" s="2">
        <f>HYPERLINK("https://www.enginatics.com/example/dba-log-switches","DBA Log Switches 27-Apr-2024 202922.xlsx")</f>
        <v>DBA Log Switches 27-Apr-2024 202922.xlsx</v>
      </c>
      <c r="F282" t="s">
        <v>769</v>
      </c>
    </row>
    <row r="283" spans="1:6" x14ac:dyDescent="0.2">
      <c r="A283" t="s">
        <v>219</v>
      </c>
      <c r="B283" t="s">
        <v>701</v>
      </c>
      <c r="C283" t="str" s="2">
        <f>HYPERLINK("https://www.enginatics.com/reports/dba-ords-configuration-validation","DBA ORDS Configuration Validation")</f>
        <v>DBA ORDS Configuration Validation</v>
      </c>
      <c r="D283" t="str" s="2">
        <f>HYPERLINK("https://www.enginatics.com/example/dba-ords-configuration-validation","DBA ORDS Configuration Validation 25-Apr-2026 133958.xlsx")</f>
        <v>DBA ORDS Configuration Validation 25-Apr-2026 133958.xlsx</v>
      </c>
      <c r="E283" t="s">
        <v>770</v>
      </c>
      <c r="F283" t="s">
        <v>771</v>
      </c>
    </row>
    <row r="284" spans="1:6" x14ac:dyDescent="0.2">
      <c r="A284" t="s">
        <v>219</v>
      </c>
      <c r="B284" t="s">
        <v>701</v>
      </c>
      <c r="C284" t="str" s="2">
        <f>HYPERLINK("https://www.enginatics.com/reports/dba-object-access-privileges","DBA Object Access Privileges")</f>
        <v>DBA Object Access Privileges</v>
      </c>
      <c r="D284" t="str" s="2">
        <f>HYPERLINK("https://www.enginatics.com/example/dba-object-access-privileges","DBA Object Access Privileges 10-Apr-2026 092105.xlsx")</f>
        <v>DBA Object Access Privileges 10-Apr-2026 092105.xlsx</v>
      </c>
      <c r="E284" t="s">
        <v>772</v>
      </c>
      <c r="F284" t="s">
        <v>773</v>
      </c>
    </row>
    <row r="285" spans="1:6" x14ac:dyDescent="0.2">
      <c r="A285" t="s">
        <v>219</v>
      </c>
      <c r="B285" t="s">
        <v>701</v>
      </c>
      <c r="C285" t="str" s="2">
        <f>HYPERLINK("https://www.enginatics.com/reports/dba-objects","DBA Objects")</f>
        <v>DBA Objects</v>
      </c>
      <c r="D285" t="str" s="2">
        <f>HYPERLINK("https://www.enginatics.com/example/dba-objects","DBA Objects 19-Mar-2025 093804.xlsx")</f>
        <v>DBA Objects 19-Mar-2025 093804.xlsx</v>
      </c>
      <c r="E285" t="s">
        <v>774</v>
      </c>
      <c r="F285" t="s">
        <v>775</v>
      </c>
    </row>
    <row r="286" spans="1:6" x14ac:dyDescent="0.2">
      <c r="A286" t="s">
        <v>219</v>
      </c>
      <c r="B286" t="s">
        <v>701</v>
      </c>
      <c r="C286" t="str" s="2">
        <f>HYPERLINK("https://www.enginatics.com/reports/dba-parameters","DBA Parameters")</f>
        <v>DBA Parameters</v>
      </c>
      <c r="D286" t="str" s="2">
        <f>HYPERLINK("https://www.enginatics.com/example/dba-parameters","DBA Parameters 22-Dec-2025 084307.xlsx")</f>
        <v>DBA Parameters 22-Dec-2025 084307.xlsx</v>
      </c>
      <c r="E286" t="s">
        <v>776</v>
      </c>
      <c r="F286" t="s">
        <v>777</v>
      </c>
    </row>
    <row r="287" spans="1:6" x14ac:dyDescent="0.2">
      <c r="A287" t="s">
        <v>219</v>
      </c>
      <c r="B287" t="s">
        <v>701</v>
      </c>
      <c r="C287" t="str" s="2">
        <f>HYPERLINK("https://www.enginatics.com/reports/dba-profiler-data","DBA Profiler Data")</f>
        <v>DBA Profiler Data</v>
      </c>
      <c r="D287" t="str" s="2">
        <f>HYPERLINK("https://www.enginatics.com/example/dba-profiler-data","DBA Profiler Data 14-Dec-2025 081549.xlsx")</f>
        <v>DBA Profiler Data 14-Dec-2025 081549.xlsx</v>
      </c>
      <c r="E287" t="s">
        <v>778</v>
      </c>
      <c r="F287" t="s">
        <v>779</v>
      </c>
    </row>
    <row r="288" spans="1:6" x14ac:dyDescent="0.2">
      <c r="A288" t="s">
        <v>219</v>
      </c>
      <c r="B288" t="s">
        <v>701</v>
      </c>
      <c r="C288" t="str" s="2">
        <f>HYPERLINK("https://www.enginatics.com/reports/dba-redo-log-files","DBA Redo Log Files")</f>
        <v>DBA Redo Log Files</v>
      </c>
      <c r="D288" t="str" s="2">
        <f>HYPERLINK("https://www.enginatics.com/example/dba-redo-log-files","DBA Redo Log Files 22-Dec-2025 084346.xlsx")</f>
        <v>DBA Redo Log Files 22-Dec-2025 084346.xlsx</v>
      </c>
      <c r="F288" t="s">
        <v>780</v>
      </c>
    </row>
    <row r="289" spans="1:6" x14ac:dyDescent="0.2">
      <c r="A289" t="s">
        <v>219</v>
      </c>
      <c r="B289" t="s">
        <v>701</v>
      </c>
      <c r="C289" t="str" s="2">
        <f>HYPERLINK("https://www.enginatics.com/reports/dba-registry-sql-patch","DBA Registry SQL Patch")</f>
        <v>DBA Registry SQL Patch</v>
      </c>
      <c r="D289" t="str" s="2">
        <f>HYPERLINK("https://www.enginatics.com/example/dba-registry-sql-patch","DBA Registry SQL Patch 22-Dec-2025 084434.xlsx")</f>
        <v>DBA Registry SQL Patch 22-Dec-2025 084434.xlsx</v>
      </c>
      <c r="E289" t="s">
        <v>781</v>
      </c>
      <c r="F289" t="s">
        <v>782</v>
      </c>
    </row>
    <row r="290" spans="1:6" x14ac:dyDescent="0.2">
      <c r="A290" t="s">
        <v>219</v>
      </c>
      <c r="B290" t="s">
        <v>701</v>
      </c>
      <c r="C290" t="str" s="2">
        <f>HYPERLINK("https://www.enginatics.com/reports/dba-result-cache-objects-and-dependencies","DBA Result Cache Objects and Dependencies")</f>
        <v>DBA Result Cache Objects and Dependencies</v>
      </c>
      <c r="D290" t="str" s="2">
        <f>HYPERLINK("https://www.enginatics.com/example/dba-result-cache-objects-and-dependencies","DBA Result Cache Objects and Dependencies 23-Dec-2024 112646.xlsx")</f>
        <v>DBA Result Cache Objects and Dependencies 23-Dec-2024 112646.xlsx</v>
      </c>
      <c r="E290" t="s">
        <v>783</v>
      </c>
      <c r="F290" t="s">
        <v>784</v>
      </c>
    </row>
    <row r="291" spans="1:6" x14ac:dyDescent="0.2">
      <c r="A291" t="s">
        <v>219</v>
      </c>
      <c r="B291" t="s">
        <v>701</v>
      </c>
      <c r="C291" t="str" s="2">
        <f>HYPERLINK("https://www.enginatics.com/reports/dba-result-cache-statistics","DBA Result Cache Statistics")</f>
        <v>DBA Result Cache Statistics</v>
      </c>
      <c r="D291" t="str" s="2">
        <f>HYPERLINK("https://www.enginatics.com/example/dba-result-cache-statistics","DBA Result Cache Statistics 18-Jan-2018 225229.xlsx")</f>
        <v>DBA Result Cache Statistics 18-Jan-2018 225229.xlsx</v>
      </c>
      <c r="E291" t="s">
        <v>785</v>
      </c>
      <c r="F291" t="s">
        <v>786</v>
      </c>
    </row>
    <row r="292" spans="1:6" x14ac:dyDescent="0.2">
      <c r="A292" t="s">
        <v>219</v>
      </c>
      <c r="B292" t="s">
        <v>701</v>
      </c>
      <c r="C292" t="str" s="2">
        <f>HYPERLINK("https://www.enginatics.com/reports/dba-sga-active-session-history","DBA SGA Active Session History")</f>
        <v>DBA SGA Active Session History</v>
      </c>
      <c r="D292" t="str" s="2">
        <f>HYPERLINK("https://www.enginatics.com/example/dba-sga-active-session-history","DBA SGA Active Session History 24-Sep-2018 011658.xlsx")</f>
        <v>DBA SGA Active Session History 24-Sep-2018 011658.xlsx</v>
      </c>
      <c r="E292" t="s">
        <v>787</v>
      </c>
      <c r="F292" t="s">
        <v>788</v>
      </c>
    </row>
    <row r="293" spans="1:6" x14ac:dyDescent="0.2">
      <c r="A293" t="s">
        <v>219</v>
      </c>
      <c r="B293" t="s">
        <v>701</v>
      </c>
      <c r="C293" t="str" s="2">
        <f>HYPERLINK("https://www.enginatics.com/reports/dba-sga-blocking-session-summary","DBA SGA Blocking Session Summary")</f>
        <v>DBA SGA Blocking Session Summary</v>
      </c>
      <c r="D293" t="str" s="2">
        <f>HYPERLINK("https://www.enginatics.com/example/dba-sga-blocking-session-summary","DBA SGA Blocking Session Summary 21-Jan-2019 083708.xlsx")</f>
        <v>DBA SGA Blocking Session Summary 21-Jan-2019 083708.xlsx</v>
      </c>
      <c r="E293" t="s">
        <v>789</v>
      </c>
      <c r="F293" t="s">
        <v>790</v>
      </c>
    </row>
    <row r="294" spans="1:6" x14ac:dyDescent="0.2">
      <c r="A294" t="s">
        <v>219</v>
      </c>
      <c r="B294" t="s">
        <v>701</v>
      </c>
      <c r="C294" t="str" s="2">
        <f>HYPERLINK("https://www.enginatics.com/reports/dba-sga-buffer-cache-object-usage","DBA SGA Buffer Cache Object Usage")</f>
        <v>DBA SGA Buffer Cache Object Usage</v>
      </c>
      <c r="D294" t="str" s="2">
        <f>HYPERLINK("https://www.enginatics.com/example/dba-sga-buffer-cache-object-usage","DBA SGA Buffer Cache Object Usage 05-Apr-2020 014325.xlsx")</f>
        <v>DBA SGA Buffer Cache Object Usage 05-Apr-2020 014325.xlsx</v>
      </c>
      <c r="E294" t="s">
        <v>791</v>
      </c>
      <c r="F294" t="s">
        <v>792</v>
      </c>
    </row>
    <row r="295" spans="1:6" x14ac:dyDescent="0.2">
      <c r="A295" t="s">
        <v>219</v>
      </c>
      <c r="B295" t="s">
        <v>701</v>
      </c>
      <c r="C295" t="str" s="2">
        <f>HYPERLINK("https://www.enginatics.com/reports/dba-sga-cpu-load-active-session-history","DBA SGA CPU Load (active session history)")</f>
        <v>DBA SGA CPU Load (active session history)</v>
      </c>
      <c r="D295" t="str" s="2">
        <f>HYPERLINK("https://www.enginatics.com/example/dba-sga-cpu-load-active-session-history","DBA SGA CPU Load (active session history) 22-Dec-2025 084512.xlsx")</f>
        <v>DBA SGA CPU Load (active session history) 22-Dec-2025 084512.xlsx</v>
      </c>
      <c r="E295" t="s">
        <v>706</v>
      </c>
      <c r="F295" t="s">
        <v>793</v>
      </c>
    </row>
    <row r="296" spans="1:6" x14ac:dyDescent="0.2">
      <c r="A296" t="s">
        <v>219</v>
      </c>
      <c r="B296" t="s">
        <v>701</v>
      </c>
      <c r="C296" t="str" s="2">
        <f>HYPERLINK("https://www.enginatics.com/reports/dba-sga-memory-allocation","DBA SGA Memory Allocation")</f>
        <v>DBA SGA Memory Allocation</v>
      </c>
      <c r="D296" t="str" s="2">
        <f>HYPERLINK("https://www.enginatics.com/example/dba-sga-memory-allocation","DBA SGA Memory Allocation 16-Jun-2018 072434.xlsx")</f>
        <v>DBA SGA Memory Allocation 16-Jun-2018 072434.xlsx</v>
      </c>
      <c r="E296" t="s">
        <v>794</v>
      </c>
      <c r="F296" t="s">
        <v>795</v>
      </c>
    </row>
    <row r="297" spans="1:6" x14ac:dyDescent="0.2">
      <c r="A297" t="s">
        <v>219</v>
      </c>
      <c r="B297" t="s">
        <v>701</v>
      </c>
      <c r="C297" t="str" s="2">
        <f>HYPERLINK("https://www.enginatics.com/reports/dba-sga-sql-execution-plan-history","DBA SGA SQL Execution Plan History")</f>
        <v>DBA SGA SQL Execution Plan History</v>
      </c>
      <c r="D297" t="str" s="2">
        <f>HYPERLINK("https://www.enginatics.com/example/dba-sga-sql-execution-plan-history","DBA SGA SQL Execution Plan History 20-Sep-2021 140214.xlsx")</f>
        <v>DBA SGA SQL Execution Plan History 20-Sep-2021 140214.xlsx</v>
      </c>
      <c r="E297" t="s">
        <v>796</v>
      </c>
      <c r="F297" t="s">
        <v>797</v>
      </c>
    </row>
    <row r="298" spans="1:6" x14ac:dyDescent="0.2">
      <c r="A298" t="s">
        <v>219</v>
      </c>
      <c r="B298" t="s">
        <v>701</v>
      </c>
      <c r="C298" t="str" s="2">
        <f>HYPERLINK("https://www.enginatics.com/reports/dba-sga-sql-performance-summary","DBA SGA SQL Performance Summary")</f>
        <v>DBA SGA SQL Performance Summary</v>
      </c>
      <c r="D298" t="str" s="2">
        <f>HYPERLINK("https://www.enginatics.com/example/dba-sga-sql-performance-summary","DBA SGA SQL Performance Summary 11-May-2017 124450.xlsx")</f>
        <v>DBA SGA SQL Performance Summary 11-May-2017 124450.xlsx</v>
      </c>
      <c r="E298" t="s">
        <v>798</v>
      </c>
      <c r="F298" t="s">
        <v>799</v>
      </c>
    </row>
    <row r="299" spans="1:6" x14ac:dyDescent="0.2">
      <c r="A299" t="s">
        <v>219</v>
      </c>
      <c r="B299" t="s">
        <v>701</v>
      </c>
      <c r="C299" t="str" s="2">
        <f>HYPERLINK("https://www.enginatics.com/reports/dba-sga-target-advice","DBA SGA Target Advice")</f>
        <v>DBA SGA Target Advice</v>
      </c>
      <c r="D299" t="str" s="2">
        <f>HYPERLINK("https://www.enginatics.com/example/dba-sga-target-advice","DBA SGA Target Advice 20-Nov-2018 144219.xlsx")</f>
        <v>DBA SGA Target Advice 20-Nov-2018 144219.xlsx</v>
      </c>
      <c r="E299" t="s">
        <v>800</v>
      </c>
      <c r="F299" t="s">
        <v>801</v>
      </c>
    </row>
    <row r="300" spans="1:6" x14ac:dyDescent="0.2">
      <c r="A300" t="s">
        <v>219</v>
      </c>
      <c r="B300" t="s">
        <v>701</v>
      </c>
      <c r="C300" t="str" s="2">
        <f>HYPERLINK("https://www.enginatics.com/reports/dba-sga-wait-event-summary-active-session-history","DBA SGA Wait Event Summary (active session history)")</f>
        <v>DBA SGA Wait Event Summary (active session history)</v>
      </c>
      <c r="D300" t="str" s="2">
        <f>HYPERLINK("https://www.enginatics.com/example/dba-sga-wait-event-summary-active-session-history","DBA SGA Wait Event Summary (active session history) 23-Sep-2025 105219.xlsx")</f>
        <v>DBA SGA Wait Event Summary (active session history) 23-Sep-2025 105219.xlsx</v>
      </c>
      <c r="E300" t="s">
        <v>802</v>
      </c>
      <c r="F300" t="s">
        <v>803</v>
      </c>
    </row>
    <row r="301" spans="1:6" x14ac:dyDescent="0.2">
      <c r="A301" t="s">
        <v>219</v>
      </c>
      <c r="B301" t="s">
        <v>701</v>
      </c>
      <c r="C301" t="str" s="2">
        <f>HYPERLINK("https://www.enginatics.com/reports/dba-sga-pga-memory-configuration","DBA SGA+PGA Memory Configuration")</f>
        <v>DBA SGA+PGA Memory Configuration</v>
      </c>
      <c r="D301" t="str" s="2">
        <f>HYPERLINK("https://www.enginatics.com/example/dba-sga-pga-memory-configuration","DBA SGA+PGA Memory Configuration 29-Jul-2018 103004.xlsx")</f>
        <v>DBA SGA+PGA Memory Configuration 29-Jul-2018 103004.xlsx</v>
      </c>
      <c r="E301" t="s">
        <v>804</v>
      </c>
      <c r="F301" t="s">
        <v>805</v>
      </c>
    </row>
    <row r="302" spans="1:6" x14ac:dyDescent="0.2">
      <c r="A302" t="s">
        <v>219</v>
      </c>
      <c r="B302" t="s">
        <v>701</v>
      </c>
      <c r="C302" t="str" s="2">
        <f>HYPERLINK("https://www.enginatics.com/reports/dba-scheduler-jobs","DBA Scheduler Jobs")</f>
        <v>DBA Scheduler Jobs</v>
      </c>
      <c r="D302" t="str" s="2">
        <f>HYPERLINK("https://www.enginatics.com/example/dba-scheduler-jobs","DBA Scheduler Jobs 22-Dec-2025 084604.xlsx")</f>
        <v>DBA Scheduler Jobs 22-Dec-2025 084604.xlsx</v>
      </c>
      <c r="F302" t="s">
        <v>806</v>
      </c>
    </row>
    <row r="303" spans="1:6" x14ac:dyDescent="0.2">
      <c r="A303" t="s">
        <v>219</v>
      </c>
      <c r="B303" t="s">
        <v>701</v>
      </c>
      <c r="C303" t="str" s="2">
        <f>HYPERLINK("https://www.enginatics.com/reports/dba-segments","DBA Segments")</f>
        <v>DBA Segments</v>
      </c>
      <c r="D303" t="str" s="2">
        <f>HYPERLINK("https://www.enginatics.com/example/dba-segments","DBA Segments 22-Dec-2025 084642.xlsx")</f>
        <v>DBA Segments 22-Dec-2025 084642.xlsx</v>
      </c>
      <c r="E303" t="s">
        <v>807</v>
      </c>
      <c r="F303" t="s">
        <v>808</v>
      </c>
    </row>
    <row r="304" spans="1:6" x14ac:dyDescent="0.2">
      <c r="A304" t="s">
        <v>219</v>
      </c>
      <c r="B304" t="s">
        <v>701</v>
      </c>
      <c r="C304" t="str" s="2">
        <f>HYPERLINK("https://www.enginatics.com/reports/dba-session-longops","DBA Session Longops")</f>
        <v>DBA Session Longops</v>
      </c>
      <c r="D304" t="str" s="2">
        <f>HYPERLINK("https://www.enginatics.com/example/dba-session-longops","DBA Session Longops 22-Dec-2025 084734.xlsx")</f>
        <v>DBA Session Longops 22-Dec-2025 084734.xlsx</v>
      </c>
      <c r="E304" t="s">
        <v>809</v>
      </c>
      <c r="F304" t="s">
        <v>810</v>
      </c>
    </row>
    <row r="305" spans="1:6" x14ac:dyDescent="0.2">
      <c r="A305" t="s">
        <v>219</v>
      </c>
      <c r="B305" t="s">
        <v>701</v>
      </c>
      <c r="C305" t="str" s="2">
        <f>HYPERLINK("https://www.enginatics.com/reports/dba-table-columns","DBA Table Columns")</f>
        <v>DBA Table Columns</v>
      </c>
      <c r="D305" t="str" s="2">
        <f>HYPERLINK("https://www.enginatics.com/example/dba-table-columns","DBA Table Columns 22-Dec-2025 084853.xlsx")</f>
        <v>DBA Table Columns 22-Dec-2025 084853.xlsx</v>
      </c>
      <c r="E305" t="s">
        <v>811</v>
      </c>
      <c r="F305" t="s">
        <v>812</v>
      </c>
    </row>
    <row r="306" spans="1:6" x14ac:dyDescent="0.2">
      <c r="A306" t="s">
        <v>219</v>
      </c>
      <c r="B306" t="s">
        <v>701</v>
      </c>
      <c r="C306" t="str" s="2">
        <f>HYPERLINK("https://www.enginatics.com/reports/dba-table-modifications","DBA Table Modifications")</f>
        <v>DBA Table Modifications</v>
      </c>
      <c r="D306" t="str" s="2">
        <f>HYPERLINK("https://www.enginatics.com/example/dba-table-modifications","DBA Table Modifications 14-Oct-2021 105513.xlsx")</f>
        <v>DBA Table Modifications 14-Oct-2021 105513.xlsx</v>
      </c>
      <c r="E306" t="s">
        <v>813</v>
      </c>
      <c r="F306" t="s">
        <v>814</v>
      </c>
    </row>
    <row r="307" spans="1:6" x14ac:dyDescent="0.2">
      <c r="A307" t="s">
        <v>219</v>
      </c>
      <c r="B307" t="s">
        <v>701</v>
      </c>
      <c r="C307" t="str" s="2">
        <f>HYPERLINK("https://www.enginatics.com/reports/dba-tablespace-usage","DBA Tablespace Usage")</f>
        <v>DBA Tablespace Usage</v>
      </c>
      <c r="D307" t="str" s="2">
        <f>HYPERLINK("https://www.enginatics.com/example/dba-tablespace-usage","DBA Tablespace Usage 09-Mar-2021 101632.xlsx")</f>
        <v>DBA Tablespace Usage 09-Mar-2021 101632.xlsx</v>
      </c>
      <c r="E307" t="s">
        <v>815</v>
      </c>
      <c r="F307" t="s">
        <v>816</v>
      </c>
    </row>
    <row r="308" spans="1:6" x14ac:dyDescent="0.2">
      <c r="A308" t="s">
        <v>219</v>
      </c>
      <c r="B308" t="s">
        <v>701</v>
      </c>
      <c r="C308" t="str" s="2">
        <f>HYPERLINK("https://www.enginatics.com/reports/dba-text-search","DBA Text Search")</f>
        <v>DBA Text Search</v>
      </c>
      <c r="D308" t="str" s="2">
        <f>HYPERLINK("https://www.enginatics.com/example/dba-text-search","DBA Text Search 11-May-2017 125907.xlsx")</f>
        <v>DBA Text Search 11-May-2017 125907.xlsx</v>
      </c>
      <c r="E308" t="s">
        <v>817</v>
      </c>
      <c r="F308" t="s">
        <v>818</v>
      </c>
    </row>
    <row r="309" spans="1:6" x14ac:dyDescent="0.2">
      <c r="A309" t="s">
        <v>219</v>
      </c>
      <c r="B309" t="s">
        <v>701</v>
      </c>
      <c r="C309" t="str" s="2">
        <f>HYPERLINK("https://www.enginatics.com/reports/dba-trace-file-contents","DBA Trace File Contents")</f>
        <v>DBA Trace File Contents</v>
      </c>
      <c r="D309" t="str" s="2">
        <f>HYPERLINK("https://www.enginatics.com/example/dba-trace-file-contents","DBA Trace File Contents 22-Dec-2025 084937.xlsx")</f>
        <v>DBA Trace File Contents 22-Dec-2025 084937.xlsx</v>
      </c>
      <c r="E309" t="s">
        <v>819</v>
      </c>
      <c r="F309" t="s">
        <v>820</v>
      </c>
    </row>
    <row r="310" spans="1:6" x14ac:dyDescent="0.2">
      <c r="A310" t="s">
        <v>219</v>
      </c>
      <c r="B310" t="s">
        <v>821</v>
      </c>
      <c r="C310" t="str" s="2">
        <f>HYPERLINK("https://www.enginatics.com/reports/dis-access-privileges","DIS Access Privileges")</f>
        <v>DIS Access Privileges</v>
      </c>
      <c r="D310" t="str" s="2">
        <f>HYPERLINK("https://www.enginatics.com/example/dis-access-privileges","DIS Access Privileges 04-Jan-2019 134602.xlsx")</f>
        <v>DIS Access Privileges 04-Jan-2019 134602.xlsx</v>
      </c>
      <c r="E310" t="s">
        <v>822</v>
      </c>
      <c r="F310" t="s">
        <v>823</v>
      </c>
    </row>
    <row r="311" spans="1:6" x14ac:dyDescent="0.2">
      <c r="A311" t="s">
        <v>219</v>
      </c>
      <c r="B311" t="s">
        <v>821</v>
      </c>
      <c r="C311" t="str" s="2">
        <f>HYPERLINK("https://www.enginatics.com/reports/dis-business-areas","DIS Business Areas")</f>
        <v>DIS Business Areas</v>
      </c>
      <c r="D311" t="str" s="2">
        <f>HYPERLINK("https://www.enginatics.com/example/dis-business-areas","DIS Business Areas 29-Jul-2020 131756.xlsx")</f>
        <v>DIS Business Areas 29-Jul-2020 131756.xlsx</v>
      </c>
      <c r="E311" t="s">
        <v>824</v>
      </c>
      <c r="F311" t="s">
        <v>825</v>
      </c>
    </row>
    <row r="312" spans="1:6" x14ac:dyDescent="0.2">
      <c r="A312" t="s">
        <v>219</v>
      </c>
      <c r="B312" t="s">
        <v>821</v>
      </c>
      <c r="C312" t="str" s="2">
        <f>HYPERLINK("https://www.enginatics.com/reports/dis-converter-diagnostic-dump","DIS Converter Diagnostic Dump")</f>
        <v>DIS Converter Diagnostic Dump</v>
      </c>
      <c r="E312" t="s">
        <v>826</v>
      </c>
      <c r="F312" t="s">
        <v>827</v>
      </c>
    </row>
    <row r="313" spans="1:6" x14ac:dyDescent="0.2">
      <c r="A313" t="s">
        <v>219</v>
      </c>
      <c r="B313" t="s">
        <v>821</v>
      </c>
      <c r="C313" t="str" s="2">
        <f>HYPERLINK("https://www.enginatics.com/reports/dis-discoverer-and-blitz-report-users","DIS Discoverer and Blitz Report Users")</f>
        <v>DIS Discoverer and Blitz Report Users</v>
      </c>
      <c r="D313" t="str" s="2">
        <f>HYPERLINK("https://www.enginatics.com/example/dis-discoverer-and-blitz-report-users","DIS Discoverer and Blitz Report Users 14-Jan-2024 195259.xlsx")</f>
        <v>DIS Discoverer and Blitz Report Users 14-Jan-2024 195259.xlsx</v>
      </c>
      <c r="E313" t="s">
        <v>828</v>
      </c>
      <c r="F313" t="s">
        <v>829</v>
      </c>
    </row>
    <row r="314" spans="1:6" x14ac:dyDescent="0.2">
      <c r="A314" t="s">
        <v>219</v>
      </c>
      <c r="B314" t="s">
        <v>821</v>
      </c>
      <c r="C314" t="str" s="2">
        <f>HYPERLINK("https://www.enginatics.com/reports/dis-end-user-layers","DIS End User Layers")</f>
        <v>DIS End User Layers</v>
      </c>
      <c r="D314" t="str" s="2">
        <f>HYPERLINK("https://www.enginatics.com/example/dis-end-user-layers","DIS End User Layers 28-Mar-2026 080435.xlsx")</f>
        <v>DIS End User Layers 28-Mar-2026 080435.xlsx</v>
      </c>
      <c r="E314" t="s">
        <v>830</v>
      </c>
      <c r="F314" t="s">
        <v>831</v>
      </c>
    </row>
    <row r="315" spans="1:6" x14ac:dyDescent="0.2">
      <c r="A315" t="s">
        <v>219</v>
      </c>
      <c r="B315" t="s">
        <v>821</v>
      </c>
      <c r="C315" t="str" s="2">
        <f>HYPERLINK("https://www.enginatics.com/reports/dis-folders-business-areas-items-and-lovs","DIS Folders, Business Areas, Items and LOVs")</f>
        <v>DIS Folders, Business Areas, Items and LOVs</v>
      </c>
      <c r="D315" t="str" s="2">
        <f>HYPERLINK("https://www.enginatics.com/example/dis-folders-business-areas-items-and-lovs","DIS Folders, Business Areas, Items and LOVs 29-Jul-2020 141156.xlsx")</f>
        <v>DIS Folders, Business Areas, Items and LOVs 29-Jul-2020 141156.xlsx</v>
      </c>
      <c r="E315" t="s">
        <v>832</v>
      </c>
      <c r="F315" t="s">
        <v>833</v>
      </c>
    </row>
    <row r="316" spans="1:6" x14ac:dyDescent="0.2">
      <c r="A316" t="s">
        <v>219</v>
      </c>
      <c r="B316" t="s">
        <v>821</v>
      </c>
      <c r="C316" t="str" s="2">
        <f>HYPERLINK("https://www.enginatics.com/reports/dis-import-performance","DIS Import Performance")</f>
        <v>DIS Import Performance</v>
      </c>
      <c r="D316" t="str" s="2">
        <f>HYPERLINK("https://www.enginatics.com/example/dis-import-performance","DIS Import Performance 17-Jun-2019 131540.xlsx")</f>
        <v>DIS Import Performance 17-Jun-2019 131540.xlsx</v>
      </c>
      <c r="E316" t="s">
        <v>834</v>
      </c>
      <c r="F316" t="s">
        <v>835</v>
      </c>
    </row>
    <row r="317" spans="1:6" x14ac:dyDescent="0.2">
      <c r="A317" t="s">
        <v>219</v>
      </c>
      <c r="B317" t="s">
        <v>821</v>
      </c>
      <c r="C317" t="str" s="2">
        <f>HYPERLINK("https://www.enginatics.com/reports/dis-items-folders-and-formulas","DIS Items, Folders and Formulas")</f>
        <v>DIS Items, Folders and Formulas</v>
      </c>
      <c r="D317" t="str" s="2">
        <f>HYPERLINK("https://www.enginatics.com/example/dis-items-folders-and-formulas","DIS Items, Folders and Formulas 28-Mar-2026 080606.xlsx")</f>
        <v>DIS Items, Folders and Formulas 28-Mar-2026 080606.xlsx</v>
      </c>
      <c r="E317" t="s">
        <v>836</v>
      </c>
      <c r="F317" t="s">
        <v>837</v>
      </c>
    </row>
    <row r="318" spans="1:6" x14ac:dyDescent="0.2">
      <c r="A318" t="s">
        <v>219</v>
      </c>
      <c r="B318" t="s">
        <v>821</v>
      </c>
      <c r="C318" t="str" s="2">
        <f>HYPERLINK("https://www.enginatics.com/reports/dis-migration-identify-missing-eulconditions","DIS Migration identify missing EulConditions")</f>
        <v>DIS Migration identify missing EulConditions</v>
      </c>
      <c r="E318" t="s">
        <v>838</v>
      </c>
      <c r="F318" t="s">
        <v>839</v>
      </c>
    </row>
    <row r="319" spans="1:6" x14ac:dyDescent="0.2">
      <c r="A319" t="s">
        <v>219</v>
      </c>
      <c r="B319" t="s">
        <v>821</v>
      </c>
      <c r="C319" t="str" s="2">
        <f>HYPERLINK("https://www.enginatics.com/reports/dis-users","DIS Users")</f>
        <v>DIS Users</v>
      </c>
      <c r="D319" t="str" s="2">
        <f>HYPERLINK("https://www.enginatics.com/example/dis-users","DIS Users 04-Jan-2019 135320.xlsx")</f>
        <v>DIS Users 04-Jan-2019 135320.xlsx</v>
      </c>
      <c r="E319" t="s">
        <v>840</v>
      </c>
      <c r="F319" t="s">
        <v>841</v>
      </c>
    </row>
    <row r="320" spans="1:6" x14ac:dyDescent="0.2">
      <c r="A320" t="s">
        <v>219</v>
      </c>
      <c r="B320" t="s">
        <v>821</v>
      </c>
      <c r="C320" t="str" s="2">
        <f>HYPERLINK("https://www.enginatics.com/reports/dis-workbook-export-script","DIS Workbook Export Script")</f>
        <v>DIS Workbook Export Script</v>
      </c>
      <c r="D320" t="str" s="2">
        <f>HYPERLINK("https://www.enginatics.com/example/dis-workbook-export-script","DIS Workbook Export Script 28-Mar-2026 080920.xlsx")</f>
        <v>DIS Workbook Export Script 28-Mar-2026 080920.xlsx</v>
      </c>
      <c r="E320" t="s">
        <v>842</v>
      </c>
      <c r="F320" t="s">
        <v>843</v>
      </c>
    </row>
    <row r="321" spans="1:6" x14ac:dyDescent="0.2">
      <c r="A321" t="s">
        <v>219</v>
      </c>
      <c r="B321" t="s">
        <v>821</v>
      </c>
      <c r="C321" t="str" s="2">
        <f>HYPERLINK("https://www.enginatics.com/reports/dis-workbook-import-validation","DIS Workbook Import Validation")</f>
        <v>DIS Workbook Import Validation</v>
      </c>
      <c r="D321" t="str" s="2">
        <f>HYPERLINK("https://www.enginatics.com/example/dis-workbook-import-validation","DIS Workbook Import Validation 23-Jan-2024 205356.xlsx")</f>
        <v>DIS Workbook Import Validation 23-Jan-2024 205356.xlsx</v>
      </c>
      <c r="E321" t="s">
        <v>844</v>
      </c>
      <c r="F321" t="s">
        <v>845</v>
      </c>
    </row>
    <row r="322" spans="1:6" x14ac:dyDescent="0.2">
      <c r="A322" t="s">
        <v>219</v>
      </c>
      <c r="B322" t="s">
        <v>821</v>
      </c>
      <c r="C322" t="str" s="2">
        <f>HYPERLINK("https://www.enginatics.com/reports/dis-workbook-owner-export-script","DIS Workbook Owner Export Script")</f>
        <v>DIS Workbook Owner Export Script</v>
      </c>
      <c r="E322" t="s">
        <v>846</v>
      </c>
      <c r="F322" t="s">
        <v>847</v>
      </c>
    </row>
    <row r="323" spans="1:6" x14ac:dyDescent="0.2">
      <c r="A323" t="s">
        <v>219</v>
      </c>
      <c r="B323" t="s">
        <v>821</v>
      </c>
      <c r="C323" t="str" s="2">
        <f>HYPERLINK("https://www.enginatics.com/reports/dis-workbooks-folders-items-and-lovs","DIS Workbooks, Folders, Items and LOVs")</f>
        <v>DIS Workbooks, Folders, Items and LOVs</v>
      </c>
      <c r="D323" t="str" s="2">
        <f>HYPERLINK("https://www.enginatics.com/example/dis-workbooks-folders-items-and-lovs","DIS Workbooks, Folders, Items and LOVs 28-Mar-2026 080822.xlsx")</f>
        <v>DIS Workbooks, Folders, Items and LOVs 28-Mar-2026 080822.xlsx</v>
      </c>
      <c r="E323" t="s">
        <v>848</v>
      </c>
      <c r="F323" t="s">
        <v>849</v>
      </c>
    </row>
    <row r="324" spans="1:6" x14ac:dyDescent="0.2">
      <c r="A324" t="s">
        <v>219</v>
      </c>
      <c r="B324" t="s">
        <v>821</v>
      </c>
      <c r="C324" t="str" s="2">
        <f>HYPERLINK("https://www.enginatics.com/reports/dis-worksheet-execution-history","DIS Worksheet Execution History")</f>
        <v>DIS Worksheet Execution History</v>
      </c>
      <c r="D324" t="str" s="2">
        <f>HYPERLINK("https://www.enginatics.com/example/dis-worksheet-execution-history","DIS Worksheet Execution History 04-Jan-2019 135450.xlsx")</f>
        <v>DIS Worksheet Execution History 04-Jan-2019 135450.xlsx</v>
      </c>
      <c r="E324" t="s">
        <v>850</v>
      </c>
      <c r="F324" t="s">
        <v>851</v>
      </c>
    </row>
    <row r="325" spans="1:6" x14ac:dyDescent="0.2">
      <c r="A325" t="s">
        <v>219</v>
      </c>
      <c r="B325" t="s">
        <v>821</v>
      </c>
      <c r="C325" t="str" s="2">
        <f>HYPERLINK("https://www.enginatics.com/reports/dis-worksheet-execution-summary","DIS Worksheet Execution Summary")</f>
        <v>DIS Worksheet Execution Summary</v>
      </c>
      <c r="D325" t="str" s="2">
        <f>HYPERLINK("https://www.enginatics.com/example/dis-worksheet-execution-summary","DIS Worksheet Execution Summary 07-Oct-2022 230941.xlsx")</f>
        <v>DIS Worksheet Execution Summary 07-Oct-2022 230941.xlsx</v>
      </c>
      <c r="E325" t="s">
        <v>852</v>
      </c>
      <c r="F325" t="s">
        <v>853</v>
      </c>
    </row>
    <row r="326" spans="1:6" x14ac:dyDescent="0.2">
      <c r="A326" t="s">
        <v>219</v>
      </c>
      <c r="B326" t="s">
        <v>821</v>
      </c>
      <c r="C326" t="str" s="2">
        <f>HYPERLINK("https://www.enginatics.com/reports/dis-worksheet-sqls","DIS Worksheet SQLs")</f>
        <v>DIS Worksheet SQLs</v>
      </c>
      <c r="D326" t="str" s="2">
        <f>HYPERLINK("https://www.enginatics.com/example/dis-worksheet-sqls","DIS Worksheet SQLs 04-Jan-2019 135604.xlsx")</f>
        <v>DIS Worksheet SQLs 04-Jan-2019 135604.xlsx</v>
      </c>
      <c r="E326" t="s">
        <v>854</v>
      </c>
      <c r="F326" t="s">
        <v>855</v>
      </c>
    </row>
    <row r="327" spans="1:6" x14ac:dyDescent="0.2">
      <c r="A327" t="s">
        <v>219</v>
      </c>
      <c r="B327" t="s">
        <v>56</v>
      </c>
      <c r="C327" t="str" s="2">
        <f>HYPERLINK("https://www.enginatics.com/reports/eam-assets","EAM Assets")</f>
        <v>EAM Assets</v>
      </c>
      <c r="D327" t="str" s="2">
        <f>HYPERLINK("https://www.enginatics.com/example/eam-assets","EAM Assets 28-Jul-2020 182205.xlsx")</f>
        <v>EAM Assets 28-Jul-2020 182205.xlsx</v>
      </c>
      <c r="E327" t="s">
        <v>856</v>
      </c>
      <c r="F327" t="s">
        <v>857</v>
      </c>
    </row>
    <row r="328" spans="1:6" x14ac:dyDescent="0.2">
      <c r="A328" t="s">
        <v>219</v>
      </c>
      <c r="B328" t="s">
        <v>56</v>
      </c>
      <c r="C328" t="str" s="2">
        <f>HYPERLINK("https://www.enginatics.com/reports/eam-weekly-schedule","EAM Weekly Schedule")</f>
        <v>EAM Weekly Schedule</v>
      </c>
      <c r="D328" t="str" s="2">
        <f>HYPERLINK("https://www.enginatics.com/example/eam-weekly-schedule","EAM Weekly Schedule 17-May-2020 135229.xlsx")</f>
        <v>EAM Weekly Schedule 17-May-2020 135229.xlsx</v>
      </c>
      <c r="E328" t="s">
        <v>858</v>
      </c>
      <c r="F328" t="s">
        <v>859</v>
      </c>
    </row>
    <row r="329" spans="1:6" x14ac:dyDescent="0.2">
      <c r="A329" t="s">
        <v>219</v>
      </c>
      <c r="B329" t="s">
        <v>56</v>
      </c>
      <c r="C329" t="str" s="2">
        <f>HYPERLINK("https://www.enginatics.com/reports/eam-work-orders","EAM Work Orders")</f>
        <v>EAM Work Orders</v>
      </c>
      <c r="D329" t="str" s="2">
        <f>HYPERLINK("https://www.enginatics.com/example/eam-work-orders","EAM Work Orders 18-Jan-2018 152946.xlsx")</f>
        <v>EAM Work Orders 18-Jan-2018 152946.xlsx</v>
      </c>
      <c r="E329" t="s">
        <v>860</v>
      </c>
      <c r="F329" t="s">
        <v>861</v>
      </c>
    </row>
    <row r="330" spans="1:6" x14ac:dyDescent="0.2">
      <c r="A330" t="s">
        <v>219</v>
      </c>
      <c r="B330" t="s">
        <v>862</v>
      </c>
      <c r="C330" t="str" s="2">
        <f>HYPERLINK("https://www.enginatics.com/reports/ecc-admin-concurrent-programs","ECC Admin - Concurrent Programs")</f>
        <v>ECC Admin - Concurrent Programs</v>
      </c>
      <c r="D330" t="str" s="2">
        <f>HYPERLINK("https://www.enginatics.com/example/ecc-admin-concurrent-programs","ECC Admin - Concurrent Programs 15-Jun-2020 192701.xlsx")</f>
        <v>ECC Admin - Concurrent Programs 15-Jun-2020 192701.xlsx</v>
      </c>
      <c r="E330" t="s">
        <v>863</v>
      </c>
      <c r="F330" t="s">
        <v>864</v>
      </c>
    </row>
    <row r="331" spans="1:6" x14ac:dyDescent="0.2">
      <c r="A331" t="s">
        <v>219</v>
      </c>
      <c r="B331" t="s">
        <v>862</v>
      </c>
      <c r="C331" t="str" s="2">
        <f>HYPERLINK("https://www.enginatics.com/reports/ecc-admin-data-load-tracking","ECC Admin - Data Load Tracking")</f>
        <v>ECC Admin - Data Load Tracking</v>
      </c>
      <c r="D331" t="str" s="2">
        <f>HYPERLINK("https://www.enginatics.com/example/ecc-admin-data-load-tracking","ECC Admin - Data Load Tracking 15-Jun-2020 193916.xlsx")</f>
        <v>ECC Admin - Data Load Tracking 15-Jun-2020 193916.xlsx</v>
      </c>
      <c r="E331" t="s">
        <v>865</v>
      </c>
      <c r="F331" t="s">
        <v>866</v>
      </c>
    </row>
    <row r="332" spans="1:6" x14ac:dyDescent="0.2">
      <c r="A332" t="s">
        <v>219</v>
      </c>
      <c r="B332" t="s">
        <v>862</v>
      </c>
      <c r="C332" t="str" s="2">
        <f>HYPERLINK("https://www.enginatics.com/reports/ecc-admin-data-sets","ECC Admin - Data Sets")</f>
        <v>ECC Admin - Data Sets</v>
      </c>
      <c r="D332" t="str" s="2">
        <f>HYPERLINK("https://www.enginatics.com/example/ecc-admin-data-sets","ECC Admin - Data Sets 10-Sep-2020 115708.xlsx")</f>
        <v>ECC Admin - Data Sets 10-Sep-2020 115708.xlsx</v>
      </c>
      <c r="E332" t="s">
        <v>867</v>
      </c>
      <c r="F332" t="s">
        <v>868</v>
      </c>
    </row>
    <row r="333" spans="1:6" x14ac:dyDescent="0.2">
      <c r="A333" t="s">
        <v>219</v>
      </c>
      <c r="B333" t="s">
        <v>862</v>
      </c>
      <c r="C333" t="str" s="2">
        <f>HYPERLINK("https://www.enginatics.com/reports/ecc-admin-metadata-attributes","ECC Admin - Metadata Attributes")</f>
        <v>ECC Admin - Metadata Attributes</v>
      </c>
      <c r="D333" t="str" s="2">
        <f>HYPERLINK("https://www.enginatics.com/example/ecc-admin-metadata-attributes","ECC Admin - Metadata Attributes 15-Jun-2020 193045.xlsx")</f>
        <v>ECC Admin - Metadata Attributes 15-Jun-2020 193045.xlsx</v>
      </c>
      <c r="E333" t="s">
        <v>869</v>
      </c>
      <c r="F333" t="s">
        <v>870</v>
      </c>
    </row>
    <row r="334" spans="1:6" x14ac:dyDescent="0.2">
      <c r="A334" t="s">
        <v>219</v>
      </c>
      <c r="C334" t="str" s="2">
        <f>HYPERLINK("https://www.enginatics.com/reports/enginatics-blitz-reports-and-uploads","Enginatics Blitz Reports and Uploads")</f>
        <v>Enginatics Blitz Reports and Uploads</v>
      </c>
      <c r="D334" t="str" s="2">
        <f>HYPERLINK("https://www.enginatics.com/example/enginatics-blitz-reports-and-uploads","Enginatics Blitz Reports and Uploads - One type per sheet 25-Jul-2026 102422.xlsx")</f>
        <v>Enginatics Blitz Reports and Uploads - One type per sheet 25-Jul-2026 102422.xlsx</v>
      </c>
      <c r="E334" t="s">
        <v>871</v>
      </c>
      <c r="F334" t="s">
        <v>872</v>
      </c>
    </row>
    <row r="335" spans="1:6" x14ac:dyDescent="0.2">
      <c r="A335" t="s">
        <v>219</v>
      </c>
      <c r="B335" t="s">
        <v>67</v>
      </c>
      <c r="C335" t="str" s="2">
        <f>HYPERLINK("https://www.enginatics.com/reports/fa-additions-by-source","FA Additions By Source")</f>
        <v>FA Additions By Source</v>
      </c>
      <c r="D335" t="str" s="2">
        <f>HYPERLINK("https://www.enginatics.com/example/fa-additions-by-source","FA Additions By Source - Pivot Default Template 18-Jul-2023 150338.xlsx")</f>
        <v>FA Additions By Source - Pivot Default Template 18-Jul-2023 150338.xlsx</v>
      </c>
      <c r="E335" t="s">
        <v>873</v>
      </c>
      <c r="F335" t="s">
        <v>874</v>
      </c>
    </row>
    <row r="336" spans="1:6" x14ac:dyDescent="0.2">
      <c r="A336" t="s">
        <v>219</v>
      </c>
      <c r="B336" t="s">
        <v>67</v>
      </c>
      <c r="C336" t="str" s="2">
        <f>HYPERLINK("https://www.enginatics.com/reports/fa-asset-additions","FA Asset Additions")</f>
        <v>FA Asset Additions</v>
      </c>
      <c r="D336" t="str" s="2">
        <f>HYPERLINK("https://www.enginatics.com/example/fa-asset-additions","FA Asset Additions 30-Aug-2021 051352.xlsx")</f>
        <v>FA Asset Additions 30-Aug-2021 051352.xlsx</v>
      </c>
      <c r="E336" t="s">
        <v>875</v>
      </c>
      <c r="F336" t="s">
        <v>876</v>
      </c>
    </row>
    <row r="337" spans="1:6" x14ac:dyDescent="0.2">
      <c r="A337" t="s">
        <v>219</v>
      </c>
      <c r="B337" t="s">
        <v>67</v>
      </c>
      <c r="C337" t="str" s="2">
        <f>HYPERLINK("https://www.enginatics.com/reports/fa-asset-book-details","FA Asset Book Details")</f>
        <v>FA Asset Book Details</v>
      </c>
      <c r="D337" t="str" s="2">
        <f>HYPERLINK("https://www.enginatics.com/example/fa-asset-book-details","FA Asset Book Details 19-Jan-2018 003659.xlsx")</f>
        <v>FA Asset Book Details 19-Jan-2018 003659.xlsx</v>
      </c>
      <c r="E337" t="s">
        <v>877</v>
      </c>
      <c r="F337" t="s">
        <v>878</v>
      </c>
    </row>
    <row r="338" spans="1:6" x14ac:dyDescent="0.2">
      <c r="A338" t="s">
        <v>219</v>
      </c>
      <c r="B338" t="s">
        <v>67</v>
      </c>
      <c r="C338" t="str" s="2">
        <f>HYPERLINK("https://www.enginatics.com/reports/fa-asset-cost","FA Asset Cost")</f>
        <v>FA Asset Cost</v>
      </c>
      <c r="D338" t="str" s="2">
        <f>HYPERLINK("https://www.enginatics.com/example/fa-asset-cost","FA Asset Cost - Asset Cost Detail 20-Jul-2023 032253.xlsx")</f>
        <v>FA Asset Cost - Asset Cost Detail 20-Jul-2023 032253.xlsx</v>
      </c>
      <c r="E338" t="s">
        <v>879</v>
      </c>
      <c r="F338" t="s">
        <v>880</v>
      </c>
    </row>
    <row r="339" spans="1:6" x14ac:dyDescent="0.2">
      <c r="A339" t="s">
        <v>219</v>
      </c>
      <c r="B339" t="s">
        <v>67</v>
      </c>
      <c r="C339" t="str" s="2">
        <f>HYPERLINK("https://www.enginatics.com/reports/fa-asset-impairments","FA Asset Impairments")</f>
        <v>FA Asset Impairments</v>
      </c>
      <c r="E339" t="s">
        <v>881</v>
      </c>
      <c r="F339" t="s">
        <v>882</v>
      </c>
    </row>
    <row r="340" spans="1:6" x14ac:dyDescent="0.2">
      <c r="A340" t="s">
        <v>219</v>
      </c>
      <c r="B340" t="s">
        <v>67</v>
      </c>
      <c r="C340" t="str" s="2">
        <f>HYPERLINK("https://www.enginatics.com/reports/fa-asset-inventory","FA Asset Inventory")</f>
        <v>FA Asset Inventory</v>
      </c>
      <c r="D340" t="str" s="2">
        <f>HYPERLINK("https://www.enginatics.com/example/fa-asset-inventory","FA Asset Inventory 30-Sep-2020 221751.xlsx")</f>
        <v>FA Asset Inventory 30-Sep-2020 221751.xlsx</v>
      </c>
      <c r="E340" t="s">
        <v>883</v>
      </c>
      <c r="F340" t="s">
        <v>884</v>
      </c>
    </row>
    <row r="341" spans="1:6" x14ac:dyDescent="0.2">
      <c r="A341" t="s">
        <v>219</v>
      </c>
      <c r="B341" t="s">
        <v>67</v>
      </c>
      <c r="C341" t="str" s="2">
        <f>HYPERLINK("https://www.enginatics.com/reports/fa-asset-inventory-report","FA Asset Inventory Report")</f>
        <v>FA Asset Inventory Report</v>
      </c>
      <c r="E341" t="s">
        <v>885</v>
      </c>
      <c r="F341" t="s">
        <v>886</v>
      </c>
    </row>
    <row r="342" spans="1:6" x14ac:dyDescent="0.2">
      <c r="A342" t="s">
        <v>219</v>
      </c>
      <c r="B342" t="s">
        <v>67</v>
      </c>
      <c r="C342" t="str" s="2">
        <f>HYPERLINK("https://www.enginatics.com/reports/fa-asset-reclassification","FA Asset Reclassification")</f>
        <v>FA Asset Reclassification</v>
      </c>
      <c r="D342" t="str" s="2">
        <f>HYPERLINK("https://www.enginatics.com/example/fa-asset-reclassification","FA Asset Reclassification - Default 08-Oct-2023 234832.xlsx")</f>
        <v>FA Asset Reclassification - Default 08-Oct-2023 234832.xlsx</v>
      </c>
      <c r="E342" t="s">
        <v>887</v>
      </c>
      <c r="F342" t="s">
        <v>888</v>
      </c>
    </row>
    <row r="343" spans="1:6" x14ac:dyDescent="0.2">
      <c r="A343" t="s">
        <v>219</v>
      </c>
      <c r="B343" t="s">
        <v>67</v>
      </c>
      <c r="C343" t="str" s="2">
        <f>HYPERLINK("https://www.enginatics.com/reports/fa-asset-register","FA Asset Register")</f>
        <v>FA Asset Register</v>
      </c>
      <c r="D343" t="str" s="2">
        <f>HYPERLINK("https://www.enginatics.com/example/fa-asset-register","FA Asset Register 06-Sep-2023 081714.xlsx")</f>
        <v>FA Asset Register 06-Sep-2023 081714.xlsx</v>
      </c>
      <c r="E343" t="s">
        <v>889</v>
      </c>
      <c r="F343" t="s">
        <v>890</v>
      </c>
    </row>
    <row r="344" spans="1:6" x14ac:dyDescent="0.2">
      <c r="A344" t="s">
        <v>219</v>
      </c>
      <c r="B344" t="s">
        <v>67</v>
      </c>
      <c r="C344" t="str" s="2">
        <f>HYPERLINK("https://www.enginatics.com/reports/fa-asset-retirements","FA Asset Retirements")</f>
        <v>FA Asset Retirements</v>
      </c>
      <c r="D344" t="str" s="2">
        <f>HYPERLINK("https://www.enginatics.com/example/fa-asset-retirements","FA Asset Retirements 30-Aug-2021 052300.xlsx")</f>
        <v>FA Asset Retirements 30-Aug-2021 052300.xlsx</v>
      </c>
      <c r="E344" t="s">
        <v>891</v>
      </c>
      <c r="F344" t="s">
        <v>892</v>
      </c>
    </row>
    <row r="345" spans="1:6" x14ac:dyDescent="0.2">
      <c r="A345" t="s">
        <v>219</v>
      </c>
      <c r="B345" t="s">
        <v>67</v>
      </c>
      <c r="C345" t="str" s="2">
        <f>HYPERLINK("https://www.enginatics.com/reports/fa-asset-summary-germany","FA Asset Summary (Germany)")</f>
        <v>FA Asset Summary (Germany)</v>
      </c>
      <c r="D345" t="str" s="2">
        <f>HYPERLINK("https://www.enginatics.com/example/fa-asset-summary-germany","FA Asset Summary (Germany) - Pivot - Detailed (with Asset Details) 03-Jul-2024 114249.xlsx")</f>
        <v>FA Asset Summary (Germany) - Pivot - Detailed (with Asset Details) 03-Jul-2024 114249.xlsx</v>
      </c>
      <c r="E345" t="s">
        <v>893</v>
      </c>
      <c r="F345" t="s">
        <v>894</v>
      </c>
    </row>
    <row r="346" spans="1:6" x14ac:dyDescent="0.2">
      <c r="A346" t="s">
        <v>219</v>
      </c>
      <c r="B346" t="s">
        <v>67</v>
      </c>
      <c r="C346" t="str" s="2">
        <f>HYPERLINK("https://www.enginatics.com/reports/fa-cip-assets-and-invoices","FA CIP Assets and Invoices")</f>
        <v>FA CIP Assets and Invoices</v>
      </c>
      <c r="E346" t="s">
        <v>895</v>
      </c>
      <c r="F346" t="s">
        <v>896</v>
      </c>
    </row>
    <row r="347" spans="1:6" x14ac:dyDescent="0.2">
      <c r="A347" t="s">
        <v>219</v>
      </c>
      <c r="B347" t="s">
        <v>67</v>
      </c>
      <c r="C347" t="str" s="2">
        <f>HYPERLINK("https://www.enginatics.com/reports/fa-cip-cost","FA CIP Cost")</f>
        <v>FA CIP Cost</v>
      </c>
      <c r="D347" t="str" s="2">
        <f>HYPERLINK("https://www.enginatics.com/example/fa-cip-cost","FA CIP Cost 30-Aug-2021 075221.xlsx")</f>
        <v>FA CIP Cost 30-Aug-2021 075221.xlsx</v>
      </c>
      <c r="E347" t="s">
        <v>897</v>
      </c>
      <c r="F347" t="s">
        <v>898</v>
      </c>
    </row>
    <row r="348" spans="1:6" x14ac:dyDescent="0.2">
      <c r="A348" t="s">
        <v>219</v>
      </c>
      <c r="B348" t="s">
        <v>67</v>
      </c>
      <c r="C348" t="str" s="2">
        <f>HYPERLINK("https://www.enginatics.com/reports/fa-cost-adjustments","FA Cost Adjustments")</f>
        <v>FA Cost Adjustments</v>
      </c>
      <c r="D348" t="str" s="2">
        <f>HYPERLINK("https://www.enginatics.com/example/fa-cost-adjustments","FA Cost Adjustments 30-Aug-2021 053010.xlsx")</f>
        <v>FA Cost Adjustments 30-Aug-2021 053010.xlsx</v>
      </c>
      <c r="E348" t="s">
        <v>899</v>
      </c>
      <c r="F348" t="s">
        <v>900</v>
      </c>
    </row>
    <row r="349" spans="1:6" x14ac:dyDescent="0.2">
      <c r="A349" t="s">
        <v>219</v>
      </c>
      <c r="B349" t="s">
        <v>67</v>
      </c>
      <c r="C349" t="str" s="2">
        <f>HYPERLINK("https://www.enginatics.com/reports/fa-depreciation-projection","FA Depreciation Projection")</f>
        <v>FA Depreciation Projection</v>
      </c>
      <c r="D349" t="str" s="2">
        <f>HYPERLINK("https://www.enginatics.com/example/fa-depreciation-projection","FA Depreciation Projection 06-Nov-2024 005550.xlsx")</f>
        <v>FA Depreciation Projection 06-Nov-2024 005550.xlsx</v>
      </c>
      <c r="E349" t="s">
        <v>901</v>
      </c>
      <c r="F349" t="s">
        <v>902</v>
      </c>
    </row>
    <row r="350" spans="1:6" x14ac:dyDescent="0.2">
      <c r="A350" t="s">
        <v>219</v>
      </c>
      <c r="B350" t="s">
        <v>67</v>
      </c>
      <c r="C350" t="str" s="2">
        <f>HYPERLINK("https://www.enginatics.com/reports/fa-depreciation-reserve","FA Depreciation Reserve")</f>
        <v>FA Depreciation Reserve</v>
      </c>
      <c r="D350" t="str" s="2">
        <f>HYPERLINK("https://www.enginatics.com/example/fa-depreciation-reserve","FA Depreciation Reserve 30-Aug-2021 073636.xlsx")</f>
        <v>FA Depreciation Reserve 30-Aug-2021 073636.xlsx</v>
      </c>
      <c r="E350" t="s">
        <v>903</v>
      </c>
      <c r="F350" t="s">
        <v>904</v>
      </c>
    </row>
    <row r="351" spans="1:6" x14ac:dyDescent="0.2">
      <c r="A351" t="s">
        <v>219</v>
      </c>
      <c r="B351" t="s">
        <v>67</v>
      </c>
      <c r="C351" t="str" s="2">
        <f>HYPERLINK("https://www.enginatics.com/reports/fa-journal-entry-reserve-ledger","FA Journal Entry Reserve Ledger")</f>
        <v>FA Journal Entry Reserve Ledger</v>
      </c>
      <c r="D351" t="str" s="2">
        <f>HYPERLINK("https://www.enginatics.com/example/fa-journal-entry-reserve-ledger","FA Journal Entry Reserve Ledger 30-Aug-2021 053316.xlsx")</f>
        <v>FA Journal Entry Reserve Ledger 30-Aug-2021 053316.xlsx</v>
      </c>
      <c r="E351" t="s">
        <v>905</v>
      </c>
      <c r="F351" t="s">
        <v>906</v>
      </c>
    </row>
    <row r="352" spans="1:6" x14ac:dyDescent="0.2">
      <c r="A352" t="s">
        <v>219</v>
      </c>
      <c r="B352" t="s">
        <v>67</v>
      </c>
      <c r="C352" t="str" s="2">
        <f>HYPERLINK("https://www.enginatics.com/reports/fa-revaluation-reserve","FA Revaluation Reserve")</f>
        <v>FA Revaluation Reserve</v>
      </c>
      <c r="D352" t="str" s="2">
        <f>HYPERLINK("https://www.enginatics.com/example/fa-revaluation-reserve","FA Revaluation Reserve 30-Aug-2021 080055.xlsx")</f>
        <v>FA Revaluation Reserve 30-Aug-2021 080055.xlsx</v>
      </c>
      <c r="E352" t="s">
        <v>907</v>
      </c>
      <c r="F352" t="s">
        <v>908</v>
      </c>
    </row>
    <row r="353" spans="1:6" x14ac:dyDescent="0.2">
      <c r="A353" t="s">
        <v>219</v>
      </c>
      <c r="B353" t="s">
        <v>67</v>
      </c>
      <c r="C353" t="str" s="2">
        <f>HYPERLINK("https://www.enginatics.com/reports/fa-tax-reserve-ledger","FA Tax Reserve Ledger")</f>
        <v>FA Tax Reserve Ledger</v>
      </c>
      <c r="D353" t="str" s="2">
        <f>HYPERLINK("https://www.enginatics.com/example/fa-tax-reserve-ledger","FA Tax Reserve Ledger 30-Aug-2021 053238.xlsx")</f>
        <v>FA Tax Reserve Ledger 30-Aug-2021 053238.xlsx</v>
      </c>
      <c r="E353" t="s">
        <v>909</v>
      </c>
      <c r="F353" t="s">
        <v>910</v>
      </c>
    </row>
    <row r="354" spans="1:6" x14ac:dyDescent="0.2">
      <c r="A354" t="s">
        <v>219</v>
      </c>
      <c r="B354" t="s">
        <v>72</v>
      </c>
      <c r="C354" t="str" s="2">
        <f>HYPERLINK("https://www.enginatics.com/reports/fnd-application-context-file","FND Application Context File")</f>
        <v>FND Application Context File</v>
      </c>
      <c r="D354" t="str" s="2">
        <f>HYPERLINK("https://www.enginatics.com/example/fnd-application-context-file","FND Application Context File 06-Jul-2019 174000.xlsx")</f>
        <v>FND Application Context File 06-Jul-2019 174000.xlsx</v>
      </c>
      <c r="E354" t="s">
        <v>911</v>
      </c>
      <c r="F354" t="s">
        <v>912</v>
      </c>
    </row>
    <row r="355" spans="1:6" x14ac:dyDescent="0.2">
      <c r="A355" t="s">
        <v>219</v>
      </c>
      <c r="B355" t="s">
        <v>72</v>
      </c>
      <c r="C355" t="str" s="2">
        <f>HYPERLINK("https://www.enginatics.com/reports/fnd-applications","FND Applications")</f>
        <v>FND Applications</v>
      </c>
      <c r="D355" t="str" s="2">
        <f>HYPERLINK("https://www.enginatics.com/example/fnd-applications","FND Applications 20-Dec-2022 093439.xlsx")</f>
        <v>FND Applications 20-Dec-2022 093439.xlsx</v>
      </c>
      <c r="E355" t="s">
        <v>913</v>
      </c>
      <c r="F355" t="s">
        <v>914</v>
      </c>
    </row>
    <row r="356" spans="1:6" x14ac:dyDescent="0.2">
      <c r="A356" t="s">
        <v>219</v>
      </c>
      <c r="B356" t="s">
        <v>72</v>
      </c>
      <c r="C356" t="str" s="2">
        <f>HYPERLINK("https://www.enginatics.com/reports/fnd-attached-documents","FND Attached Documents")</f>
        <v>FND Attached Documents</v>
      </c>
      <c r="D356" t="str" s="2">
        <f>HYPERLINK("https://www.enginatics.com/example/fnd-attached-documents","FND Attached Documents 09-Sep-2018 083127.xlsx")</f>
        <v>FND Attached Documents 09-Sep-2018 083127.xlsx</v>
      </c>
      <c r="E356" t="s">
        <v>915</v>
      </c>
      <c r="F356" t="s">
        <v>916</v>
      </c>
    </row>
    <row r="357" spans="1:6" x14ac:dyDescent="0.2">
      <c r="A357" t="s">
        <v>219</v>
      </c>
      <c r="B357" t="s">
        <v>72</v>
      </c>
      <c r="C357" t="str" s="2">
        <f>HYPERLINK("https://www.enginatics.com/reports/fnd-attachment-functions","FND Attachment Functions")</f>
        <v>FND Attachment Functions</v>
      </c>
      <c r="D357" t="str" s="2">
        <f>HYPERLINK("https://www.enginatics.com/example/fnd-attachment-functions","FND Attachment Functions 10-Jul-2018 190034.xlsx")</f>
        <v>FND Attachment Functions 10-Jul-2018 190034.xlsx</v>
      </c>
      <c r="E357" t="s">
        <v>917</v>
      </c>
      <c r="F357" t="s">
        <v>918</v>
      </c>
    </row>
    <row r="358" spans="1:6" x14ac:dyDescent="0.2">
      <c r="A358" t="s">
        <v>219</v>
      </c>
      <c r="B358" t="s">
        <v>72</v>
      </c>
      <c r="C358" t="str" s="2">
        <f>HYPERLINK("https://www.enginatics.com/reports/fnd-audit-setup","FND Audit Setup")</f>
        <v>FND Audit Setup</v>
      </c>
      <c r="D358" t="str" s="2">
        <f>HYPERLINK("https://www.enginatics.com/example/fnd-audit-setup","FND Audit Setup 16-Aug-2020 161825.xlsx")</f>
        <v>FND Audit Setup 16-Aug-2020 161825.xlsx</v>
      </c>
      <c r="E358" t="s">
        <v>919</v>
      </c>
      <c r="F358" t="s">
        <v>920</v>
      </c>
    </row>
    <row r="359" spans="1:6" x14ac:dyDescent="0.2">
      <c r="A359" t="s">
        <v>219</v>
      </c>
      <c r="B359" t="s">
        <v>72</v>
      </c>
      <c r="C359" t="str" s="2">
        <f>HYPERLINK("https://www.enginatics.com/reports/fnd-audit-table-changes-by-column","FND Audit Table Changes by Column")</f>
        <v>FND Audit Table Changes by Column</v>
      </c>
      <c r="D359" t="str" s="2">
        <f>HYPERLINK("https://www.enginatics.com/example/fnd-audit-table-changes-by-column","FND Audit Table Changes by Column 06-Sep-2020 112717.xlsx")</f>
        <v>FND Audit Table Changes by Column 06-Sep-2020 112717.xlsx</v>
      </c>
      <c r="E359" t="s">
        <v>921</v>
      </c>
      <c r="F359" t="s">
        <v>922</v>
      </c>
    </row>
    <row r="360" spans="1:6" x14ac:dyDescent="0.2">
      <c r="A360" t="s">
        <v>219</v>
      </c>
      <c r="B360" t="s">
        <v>72</v>
      </c>
      <c r="C360" t="str" s="2">
        <f>HYPERLINK("https://www.enginatics.com/reports/fnd-audit-table-changes-by-record","FND Audit Table Changes by Record")</f>
        <v>FND Audit Table Changes by Record</v>
      </c>
      <c r="D360" t="str" s="2">
        <f>HYPERLINK("https://www.enginatics.com/example/fnd-audit-table-changes-by-record","FND Audit Table Changes by Record 05-Sep-2020 132119.xlsx")</f>
        <v>FND Audit Table Changes by Record 05-Sep-2020 132119.xlsx</v>
      </c>
      <c r="E360" t="s">
        <v>923</v>
      </c>
      <c r="F360" t="s">
        <v>924</v>
      </c>
    </row>
    <row r="361" spans="1:6" x14ac:dyDescent="0.2">
      <c r="A361" t="s">
        <v>219</v>
      </c>
      <c r="B361" t="s">
        <v>72</v>
      </c>
      <c r="C361" t="str" s="2">
        <f>HYPERLINK("https://www.enginatics.com/reports/fnd-concurrent-managers","FND Concurrent Managers")</f>
        <v>FND Concurrent Managers</v>
      </c>
      <c r="D361" t="str" s="2">
        <f>HYPERLINK("https://www.enginatics.com/example/fnd-concurrent-managers","FND Concurrent Managers 27-Jan-2019 005502.xlsx")</f>
        <v>FND Concurrent Managers 27-Jan-2019 005502.xlsx</v>
      </c>
      <c r="E361" t="s">
        <v>925</v>
      </c>
      <c r="F361" t="s">
        <v>926</v>
      </c>
    </row>
    <row r="362" spans="1:6" x14ac:dyDescent="0.2">
      <c r="A362" t="s">
        <v>219</v>
      </c>
      <c r="B362" t="s">
        <v>72</v>
      </c>
      <c r="C362" t="str" s="2">
        <f>HYPERLINK("https://www.enginatics.com/reports/fnd-concurrent-program-incompatibilities","FND Concurrent Program Incompatibilities")</f>
        <v>FND Concurrent Program Incompatibilities</v>
      </c>
      <c r="D362" t="str" s="2">
        <f>HYPERLINK("https://www.enginatics.com/example/fnd-concurrent-program-incompatibilities","FND Concurrent Program Incompatibilities 27-Jan-2019 115110.xlsx")</f>
        <v>FND Concurrent Program Incompatibilities 27-Jan-2019 115110.xlsx</v>
      </c>
      <c r="E362" t="s">
        <v>927</v>
      </c>
      <c r="F362" t="s">
        <v>928</v>
      </c>
    </row>
    <row r="363" spans="1:6" x14ac:dyDescent="0.2">
      <c r="A363" t="s">
        <v>219</v>
      </c>
      <c r="B363" t="s">
        <v>72</v>
      </c>
      <c r="C363" t="str" s="2">
        <f>HYPERLINK("https://www.enginatics.com/reports/fnd-concurrent-programs-and-executables","FND Concurrent Programs and Executables")</f>
        <v>FND Concurrent Programs and Executables</v>
      </c>
      <c r="D363" t="str" s="2">
        <f>HYPERLINK("https://www.enginatics.com/example/fnd-concurrent-programs-and-executables","FND Concurrent Programs and Executables 24-Jul-2017 144449.xlsx")</f>
        <v>FND Concurrent Programs and Executables 24-Jul-2017 144449.xlsx</v>
      </c>
      <c r="E363" t="s">
        <v>929</v>
      </c>
      <c r="F363" t="s">
        <v>930</v>
      </c>
    </row>
    <row r="364" spans="1:6" x14ac:dyDescent="0.2">
      <c r="A364" t="s">
        <v>219</v>
      </c>
      <c r="B364" t="s">
        <v>72</v>
      </c>
      <c r="C364" t="str" s="2">
        <f>HYPERLINK("https://www.enginatics.com/reports/fnd-concurrent-request-conflicts","FND Concurrent Request Conflicts")</f>
        <v>FND Concurrent Request Conflicts</v>
      </c>
      <c r="D364" t="str" s="2">
        <f>HYPERLINK("https://www.enginatics.com/example/fnd-concurrent-request-conflicts","FND Concurrent Request Conflicts 25-Jun-2023 132118.xlsx")</f>
        <v>FND Concurrent Request Conflicts 25-Jun-2023 132118.xlsx</v>
      </c>
      <c r="E364" t="s">
        <v>931</v>
      </c>
      <c r="F364" t="s">
        <v>932</v>
      </c>
    </row>
    <row r="365" spans="1:6" x14ac:dyDescent="0.2">
      <c r="A365" t="s">
        <v>219</v>
      </c>
      <c r="B365" t="s">
        <v>72</v>
      </c>
      <c r="C365" t="str" s="2">
        <f>HYPERLINK("https://www.enginatics.com/reports/fnd-concurrent-requests","FND Concurrent Requests")</f>
        <v>FND Concurrent Requests</v>
      </c>
      <c r="D365" t="str" s="2">
        <f>HYPERLINK("https://www.enginatics.com/example/fnd-concurrent-requests","FND Concurrent Requests 27-Jan-2019 140201.xlsx")</f>
        <v>FND Concurrent Requests 27-Jan-2019 140201.xlsx</v>
      </c>
      <c r="E365" t="s">
        <v>933</v>
      </c>
      <c r="F365" t="s">
        <v>934</v>
      </c>
    </row>
    <row r="366" spans="1:6" x14ac:dyDescent="0.2">
      <c r="A366" t="s">
        <v>219</v>
      </c>
      <c r="B366" t="s">
        <v>72</v>
      </c>
      <c r="C366" t="str" s="2">
        <f>HYPERLINK("https://www.enginatics.com/reports/fnd-concurrent-requests-summary","FND Concurrent Requests Summary")</f>
        <v>FND Concurrent Requests Summary</v>
      </c>
      <c r="D366" t="str" s="2">
        <f>HYPERLINK("https://www.enginatics.com/example/fnd-concurrent-requests-summary","FND Concurrent Requests Summary 15-Oct-2023 092431.xlsx")</f>
        <v>FND Concurrent Requests Summary 15-Oct-2023 092431.xlsx</v>
      </c>
      <c r="E366" t="s">
        <v>935</v>
      </c>
      <c r="F366" t="s">
        <v>936</v>
      </c>
    </row>
    <row r="367" spans="1:6" x14ac:dyDescent="0.2">
      <c r="A367" t="s">
        <v>219</v>
      </c>
      <c r="B367" t="s">
        <v>72</v>
      </c>
      <c r="C367" t="str" s="2">
        <f>HYPERLINK("https://www.enginatics.com/reports/fnd-data-groups","FND Data Groups")</f>
        <v>FND Data Groups</v>
      </c>
      <c r="D367" t="str" s="2">
        <f>HYPERLINK("https://www.enginatics.com/example/fnd-data-groups","FND Data Groups 04-Apr-2026 123137.xlsx")</f>
        <v>FND Data Groups 04-Apr-2026 123137.xlsx</v>
      </c>
      <c r="F367" t="s">
        <v>937</v>
      </c>
    </row>
    <row r="368" spans="1:6" x14ac:dyDescent="0.2">
      <c r="A368" t="s">
        <v>219</v>
      </c>
      <c r="B368" t="s">
        <v>72</v>
      </c>
      <c r="C368" t="str" s="2">
        <f>HYPERLINK("https://www.enginatics.com/reports/fnd-descriptive-flexfield-table-columns","FND Descriptive Flexfield Table Columns")</f>
        <v>FND Descriptive Flexfield Table Columns</v>
      </c>
      <c r="D368" t="str" s="2">
        <f>HYPERLINK("https://www.enginatics.com/example/fnd-descriptive-flexfield-table-columns","FND Descriptive Flexfield Table Columns 04-Apr-2026 123137.xlsx")</f>
        <v>FND Descriptive Flexfield Table Columns 04-Apr-2026 123137.xlsx</v>
      </c>
      <c r="E368" t="s">
        <v>938</v>
      </c>
      <c r="F368" t="s">
        <v>939</v>
      </c>
    </row>
    <row r="369" spans="1:6" x14ac:dyDescent="0.2">
      <c r="A369" t="s">
        <v>219</v>
      </c>
      <c r="B369" t="s">
        <v>72</v>
      </c>
      <c r="C369" t="str" s="2">
        <f>HYPERLINK("https://www.enginatics.com/reports/fnd-descriptive-flexfields","FND Descriptive Flexfields")</f>
        <v>FND Descriptive Flexfields</v>
      </c>
      <c r="D369" t="str" s="2">
        <f>HYPERLINK("https://www.enginatics.com/example/fnd-descriptive-flexfields","FND Descriptive Flexfields 24-Jul-2017 144351.xlsx")</f>
        <v>FND Descriptive Flexfields 24-Jul-2017 144351.xlsx</v>
      </c>
      <c r="E369" t="s">
        <v>940</v>
      </c>
      <c r="F369" t="s">
        <v>941</v>
      </c>
    </row>
    <row r="370" spans="1:6" x14ac:dyDescent="0.2">
      <c r="A370" t="s">
        <v>219</v>
      </c>
      <c r="B370" t="s">
        <v>72</v>
      </c>
      <c r="C370" t="str" s="2">
        <f>HYPERLINK("https://www.enginatics.com/reports/fnd-document-categories","FND Document Categories")</f>
        <v>FND Document Categories</v>
      </c>
      <c r="D370" t="str" s="2">
        <f>HYPERLINK("https://www.enginatics.com/example/fnd-document-categories","FND Document Categories 24-May-2025 134602.xlsx")</f>
        <v>FND Document Categories 24-May-2025 134602.xlsx</v>
      </c>
      <c r="E370" t="s">
        <v>942</v>
      </c>
      <c r="F370" t="s">
        <v>943</v>
      </c>
    </row>
    <row r="371" spans="1:6" x14ac:dyDescent="0.2">
      <c r="A371" t="s">
        <v>219</v>
      </c>
      <c r="B371" t="s">
        <v>72</v>
      </c>
      <c r="C371" t="str" s="2">
        <f>HYPERLINK("https://www.enginatics.com/reports/fnd-document-sequence-assignments","FND Document Sequence Assignments")</f>
        <v>FND Document Sequence Assignments</v>
      </c>
      <c r="D371" t="str" s="2">
        <f>HYPERLINK("https://www.enginatics.com/example/fnd-document-sequence-assignments","FND Document Sequence Assignments 24-May-2025 131440.xlsx")</f>
        <v>FND Document Sequence Assignments 24-May-2025 131440.xlsx</v>
      </c>
      <c r="E371" t="s">
        <v>944</v>
      </c>
      <c r="F371" t="s">
        <v>945</v>
      </c>
    </row>
    <row r="372" spans="1:6" x14ac:dyDescent="0.2">
      <c r="A372" t="s">
        <v>219</v>
      </c>
      <c r="B372" t="s">
        <v>72</v>
      </c>
      <c r="C372" t="str" s="2">
        <f>HYPERLINK("https://www.enginatics.com/reports/fnd-document-sequences","FND Document Sequences")</f>
        <v>FND Document Sequences</v>
      </c>
      <c r="D372" t="str" s="2">
        <f>HYPERLINK("https://www.enginatics.com/example/fnd-document-sequences","FND Document Sequences 24-May-2025 131533.xlsx")</f>
        <v>FND Document Sequences 24-May-2025 131533.xlsx</v>
      </c>
      <c r="E372" t="s">
        <v>946</v>
      </c>
      <c r="F372" t="s">
        <v>947</v>
      </c>
    </row>
    <row r="373" spans="1:6" x14ac:dyDescent="0.2">
      <c r="A373" t="s">
        <v>219</v>
      </c>
      <c r="B373" t="s">
        <v>72</v>
      </c>
      <c r="C373" t="str" s="2">
        <f>HYPERLINK("https://www.enginatics.com/reports/fnd-fndload-object-transfer","FND FNDLOAD Object Transfer")</f>
        <v>FND FNDLOAD Object Transfer</v>
      </c>
      <c r="E373" t="s">
        <v>948</v>
      </c>
      <c r="F373" t="s">
        <v>949</v>
      </c>
    </row>
    <row r="374" spans="1:6" x14ac:dyDescent="0.2">
      <c r="A374" t="s">
        <v>219</v>
      </c>
      <c r="B374" t="s">
        <v>72</v>
      </c>
      <c r="C374" t="str" s="2">
        <f>HYPERLINK("https://www.enginatics.com/reports/fnd-flex-hierarchies-rollup-groups","FND Flex Hierarchies (Rollup Groups)")</f>
        <v>FND Flex Hierarchies (Rollup Groups)</v>
      </c>
      <c r="E374" t="s">
        <v>950</v>
      </c>
      <c r="F374" t="s">
        <v>951</v>
      </c>
    </row>
    <row r="375" spans="1:6" x14ac:dyDescent="0.2">
      <c r="A375" t="s">
        <v>219</v>
      </c>
      <c r="B375" t="s">
        <v>72</v>
      </c>
      <c r="C375" t="str" s="2">
        <f>HYPERLINK("https://www.enginatics.com/reports/fnd-flex-value-hierarchy","FND Flex Value Hierarchy")</f>
        <v>FND Flex Value Hierarchy</v>
      </c>
      <c r="D375" t="str" s="2">
        <f>HYPERLINK("https://www.enginatics.com/example/fnd-flex-value-hierarchy","FND Flex Value Hierarchy 03-Mar-2024 002741.xlsx")</f>
        <v>FND Flex Value Hierarchy 03-Mar-2024 002741.xlsx</v>
      </c>
      <c r="E375" t="s">
        <v>952</v>
      </c>
      <c r="F375" t="s">
        <v>953</v>
      </c>
    </row>
    <row r="376" spans="1:6" x14ac:dyDescent="0.2">
      <c r="A376" t="s">
        <v>219</v>
      </c>
      <c r="B376" t="s">
        <v>72</v>
      </c>
      <c r="C376" t="str" s="2">
        <f>HYPERLINK("https://www.enginatics.com/reports/fnd-flex-value-security-rules","FND Flex Value Security Rules")</f>
        <v>FND Flex Value Security Rules</v>
      </c>
      <c r="D376" t="str" s="2">
        <f>HYPERLINK("https://www.enginatics.com/example/fnd-flex-value-security-rules","FND Flex Value Security Rules 02-Jul-2022 163119.xlsx")</f>
        <v>FND Flex Value Security Rules 02-Jul-2022 163119.xlsx</v>
      </c>
      <c r="E376" t="s">
        <v>954</v>
      </c>
      <c r="F376" t="s">
        <v>955</v>
      </c>
    </row>
    <row r="377" spans="1:6" x14ac:dyDescent="0.2">
      <c r="A377" t="s">
        <v>219</v>
      </c>
      <c r="B377" t="s">
        <v>72</v>
      </c>
      <c r="C377" t="str" s="2">
        <f>HYPERLINK("https://www.enginatics.com/reports/fnd-flex-value-sets-usages-and-values","FND Flex Value Sets, Usages and Values")</f>
        <v>FND Flex Value Sets, Usages and Values</v>
      </c>
      <c r="D377" t="str" s="2">
        <f>HYPERLINK("https://www.enginatics.com/example/fnd-flex-value-sets-usages-and-values","FND Flex Value Sets, Usages and Values 20-Jan-2019 123359.xlsx")</f>
        <v>FND Flex Value Sets, Usages and Values 20-Jan-2019 123359.xlsx</v>
      </c>
      <c r="E377" t="s">
        <v>956</v>
      </c>
      <c r="F377" t="s">
        <v>957</v>
      </c>
    </row>
    <row r="378" spans="1:6" x14ac:dyDescent="0.2">
      <c r="A378" t="s">
        <v>219</v>
      </c>
      <c r="B378" t="s">
        <v>72</v>
      </c>
      <c r="C378" t="str" s="2">
        <f>HYPERLINK("https://www.enginatics.com/reports/fnd-flex-values","FND Flex Values")</f>
        <v>FND Flex Values</v>
      </c>
      <c r="D378" t="str" s="2">
        <f>HYPERLINK("https://www.enginatics.com/example/fnd-flex-values","FND Flex Values 03-Mar-2024 002021.xlsx")</f>
        <v>FND Flex Values 03-Mar-2024 002021.xlsx</v>
      </c>
      <c r="E378" t="s">
        <v>958</v>
      </c>
      <c r="F378" t="s">
        <v>959</v>
      </c>
    </row>
    <row r="379" spans="1:6" x14ac:dyDescent="0.2">
      <c r="A379" t="s">
        <v>219</v>
      </c>
      <c r="B379" t="s">
        <v>72</v>
      </c>
      <c r="C379" t="str" s="2">
        <f>HYPERLINK("https://www.enginatics.com/reports/fnd-form-functions","FND Form Functions")</f>
        <v>FND Form Functions</v>
      </c>
      <c r="D379" t="str" s="2">
        <f>HYPERLINK("https://www.enginatics.com/example/fnd-form-functions","FND Form Functions 21-Jul-2017 172941.xlsx")</f>
        <v>FND Form Functions 21-Jul-2017 172941.xlsx</v>
      </c>
      <c r="F379" t="s">
        <v>960</v>
      </c>
    </row>
    <row r="380" spans="1:6" x14ac:dyDescent="0.2">
      <c r="A380" t="s">
        <v>219</v>
      </c>
      <c r="B380" t="s">
        <v>72</v>
      </c>
      <c r="C380" t="str" s="2">
        <f>HYPERLINK("https://www.enginatics.com/reports/fnd-forms-personalizations","FND Forms Personalizations")</f>
        <v>FND Forms Personalizations</v>
      </c>
      <c r="D380" t="str" s="2">
        <f>HYPERLINK("https://www.enginatics.com/example/fnd-forms-personalizations","FND Forms Personalizations 21-Jul-2017 173253.xlsx")</f>
        <v>FND Forms Personalizations 21-Jul-2017 173253.xlsx</v>
      </c>
      <c r="E380" t="s">
        <v>961</v>
      </c>
      <c r="F380" t="s">
        <v>962</v>
      </c>
    </row>
    <row r="381" spans="1:6" x14ac:dyDescent="0.2">
      <c r="A381" t="s">
        <v>219</v>
      </c>
      <c r="B381" t="s">
        <v>72</v>
      </c>
      <c r="C381" t="str" s="2">
        <f>HYPERLINK("https://www.enginatics.com/reports/fnd-help-documents-and-targets","FND Help Documents and Targets")</f>
        <v>FND Help Documents and Targets</v>
      </c>
      <c r="D381" t="str" s="2">
        <f>HYPERLINK("https://www.enginatics.com/example/fnd-help-documents-and-targets","FND Help Documents and Targets 12-May-2020 185936.xlsx")</f>
        <v>FND Help Documents and Targets 12-May-2020 185936.xlsx</v>
      </c>
      <c r="F381" t="s">
        <v>963</v>
      </c>
    </row>
    <row r="382" spans="1:6" x14ac:dyDescent="0.2">
      <c r="A382" t="s">
        <v>219</v>
      </c>
      <c r="B382" t="s">
        <v>72</v>
      </c>
      <c r="C382" t="str" s="2">
        <f>HYPERLINK("https://www.enginatics.com/reports/fnd-histogram-columns","FND Histogram Columns")</f>
        <v>FND Histogram Columns</v>
      </c>
      <c r="D382" t="str" s="2">
        <f>HYPERLINK("https://www.enginatics.com/example/fnd-histogram-columns","FND Histogram Columns 04-Apr-2026 123137.xlsx")</f>
        <v>FND Histogram Columns 04-Apr-2026 123137.xlsx</v>
      </c>
      <c r="E382" t="s">
        <v>964</v>
      </c>
      <c r="F382" t="s">
        <v>965</v>
      </c>
    </row>
    <row r="383" spans="1:6" x14ac:dyDescent="0.2">
      <c r="A383" t="s">
        <v>219</v>
      </c>
      <c r="B383" t="s">
        <v>72</v>
      </c>
      <c r="C383" t="str" s="2">
        <f>HYPERLINK("https://www.enginatics.com/reports/fnd-key-flexfields","FND Key Flexfields")</f>
        <v>FND Key Flexfields</v>
      </c>
      <c r="D383" t="str" s="2">
        <f>HYPERLINK("https://www.enginatics.com/example/fnd-key-flexfields","FND Key Flexfields 02-Mar-2024 231637.xlsx")</f>
        <v>FND Key Flexfields 02-Mar-2024 231637.xlsx</v>
      </c>
      <c r="E383" t="s">
        <v>966</v>
      </c>
      <c r="F383" t="s">
        <v>967</v>
      </c>
    </row>
    <row r="384" spans="1:6" x14ac:dyDescent="0.2">
      <c r="A384" t="s">
        <v>219</v>
      </c>
      <c r="B384" t="s">
        <v>72</v>
      </c>
      <c r="C384" t="str" s="2">
        <f>HYPERLINK("https://www.enginatics.com/reports/fnd-languages","FND Languages")</f>
        <v>FND Languages</v>
      </c>
      <c r="D384" t="str" s="2">
        <f>HYPERLINK("https://www.enginatics.com/example/fnd-languages","FND Languages 04-Apr-2026 123137.xlsx")</f>
        <v>FND Languages 04-Apr-2026 123137.xlsx</v>
      </c>
      <c r="F384" t="s">
        <v>968</v>
      </c>
    </row>
    <row r="385" spans="1:6" x14ac:dyDescent="0.2">
      <c r="A385" t="s">
        <v>219</v>
      </c>
      <c r="B385" t="s">
        <v>72</v>
      </c>
      <c r="C385" t="str" s="2">
        <f>HYPERLINK("https://www.enginatics.com/reports/fnd-lobs","FND Lobs")</f>
        <v>FND Lobs</v>
      </c>
      <c r="E385" t="s">
        <v>969</v>
      </c>
      <c r="F385" t="s">
        <v>970</v>
      </c>
    </row>
    <row r="386" spans="1:6" x14ac:dyDescent="0.2">
      <c r="A386" t="s">
        <v>219</v>
      </c>
      <c r="B386" t="s">
        <v>72</v>
      </c>
      <c r="C386" t="str" s="2">
        <f>HYPERLINK("https://www.enginatics.com/reports/fnd-log-messages","FND Log Messages")</f>
        <v>FND Log Messages</v>
      </c>
      <c r="D386" t="str" s="2">
        <f>HYPERLINK("https://www.enginatics.com/example/fnd-log-messages","FND Log Messages - Summary by month - Excel pivot 30-Aug-2025 152352.xlsx")</f>
        <v>FND Log Messages - Summary by month - Excel pivot 30-Aug-2025 152352.xlsx</v>
      </c>
      <c r="F386" t="s">
        <v>971</v>
      </c>
    </row>
    <row r="387" spans="1:6" x14ac:dyDescent="0.2">
      <c r="A387" t="s">
        <v>219</v>
      </c>
      <c r="B387" t="s">
        <v>72</v>
      </c>
      <c r="C387" t="str" s="2">
        <f>HYPERLINK("https://www.enginatics.com/reports/fnd-lookup-search","FND Lookup Search")</f>
        <v>FND Lookup Search</v>
      </c>
      <c r="D387" t="str" s="2">
        <f>HYPERLINK("https://www.enginatics.com/example/fnd-lookup-search","FND Lookup Search 27-Jul-2018 212528.xlsx")</f>
        <v>FND Lookup Search 27-Jul-2018 212528.xlsx</v>
      </c>
      <c r="E387" t="s">
        <v>972</v>
      </c>
      <c r="F387" t="s">
        <v>973</v>
      </c>
    </row>
    <row r="388" spans="1:6" x14ac:dyDescent="0.2">
      <c r="A388" t="s">
        <v>219</v>
      </c>
      <c r="B388" t="s">
        <v>72</v>
      </c>
      <c r="C388" t="str" s="2">
        <f>HYPERLINK("https://www.enginatics.com/reports/fnd-lookup-values","FND Lookup Values")</f>
        <v>FND Lookup Values</v>
      </c>
      <c r="D388" t="str" s="2">
        <f>HYPERLINK("https://www.enginatics.com/example/fnd-lookup-values","FND Lookup Values 27-Jul-2018 212911.xlsx")</f>
        <v>FND Lookup Values 27-Jul-2018 212911.xlsx</v>
      </c>
      <c r="E388" t="s">
        <v>974</v>
      </c>
      <c r="F388" t="s">
        <v>975</v>
      </c>
    </row>
    <row r="389" spans="1:6" x14ac:dyDescent="0.2">
      <c r="A389" t="s">
        <v>219</v>
      </c>
      <c r="B389" t="s">
        <v>72</v>
      </c>
      <c r="C389" t="str" s="2">
        <f>HYPERLINK("https://www.enginatics.com/reports/fnd-lookup-values-comparison-between-environments","FND Lookup Values Comparison between environments")</f>
        <v>FND Lookup Values Comparison between environments</v>
      </c>
      <c r="E389" t="s">
        <v>976</v>
      </c>
      <c r="F389" t="s">
        <v>977</v>
      </c>
    </row>
    <row r="390" spans="1:6" x14ac:dyDescent="0.2">
      <c r="A390" t="s">
        <v>219</v>
      </c>
      <c r="B390" t="s">
        <v>72</v>
      </c>
      <c r="C390" t="str" s="2">
        <f>HYPERLINK("https://www.enginatics.com/reports/fnd-menu-entries","FND Menu Entries")</f>
        <v>FND Menu Entries</v>
      </c>
      <c r="D390" t="str" s="2">
        <f>HYPERLINK("https://www.enginatics.com/example/fnd-menu-entries","FND Menu Entries 21-Jul-2017 172713.xlsx")</f>
        <v>FND Menu Entries 21-Jul-2017 172713.xlsx</v>
      </c>
      <c r="F390" t="s">
        <v>978</v>
      </c>
    </row>
    <row r="391" spans="1:6" x14ac:dyDescent="0.2">
      <c r="A391" t="s">
        <v>219</v>
      </c>
      <c r="B391" t="s">
        <v>72</v>
      </c>
      <c r="C391" t="str" s="2">
        <f>HYPERLINK("https://www.enginatics.com/reports/fnd-menus","FND Menus")</f>
        <v>FND Menus</v>
      </c>
      <c r="E391" t="s">
        <v>979</v>
      </c>
      <c r="F391" t="s">
        <v>980</v>
      </c>
    </row>
    <row r="392" spans="1:6" x14ac:dyDescent="0.2">
      <c r="A392" t="s">
        <v>219</v>
      </c>
      <c r="B392" t="s">
        <v>72</v>
      </c>
      <c r="C392" t="str" s="2">
        <f>HYPERLINK("https://www.enginatics.com/reports/fnd-messages","FND Messages")</f>
        <v>FND Messages</v>
      </c>
      <c r="D392" t="str" s="2">
        <f>HYPERLINK("https://www.enginatics.com/example/fnd-messages","FND Messages 19-Oct-2024 094002.xlsx")</f>
        <v>FND Messages 19-Oct-2024 094002.xlsx</v>
      </c>
      <c r="F392" t="s">
        <v>981</v>
      </c>
    </row>
    <row r="393" spans="1:6" x14ac:dyDescent="0.2">
      <c r="A393" t="s">
        <v>219</v>
      </c>
      <c r="B393" t="s">
        <v>72</v>
      </c>
      <c r="C393" t="str" s="2">
        <f>HYPERLINK("https://www.enginatics.com/reports/fnd-nodes","FND Nodes")</f>
        <v>FND Nodes</v>
      </c>
      <c r="D393" t="str" s="2">
        <f>HYPERLINK("https://www.enginatics.com/example/fnd-nodes","FND Nodes 25-Aug-2024 000300.xlsx")</f>
        <v>FND Nodes 25-Aug-2024 000300.xlsx</v>
      </c>
      <c r="E393" t="s">
        <v>982</v>
      </c>
      <c r="F393" t="s">
        <v>983</v>
      </c>
    </row>
    <row r="394" spans="1:6" x14ac:dyDescent="0.2">
      <c r="A394" t="s">
        <v>219</v>
      </c>
      <c r="B394" t="s">
        <v>72</v>
      </c>
      <c r="C394" t="str" s="2">
        <f>HYPERLINK("https://www.enginatics.com/reports/fnd-profile-option-values","FND Profile Option Values")</f>
        <v>FND Profile Option Values</v>
      </c>
      <c r="D394" t="str" s="2">
        <f>HYPERLINK("https://www.enginatics.com/example/fnd-profile-option-values","FND Profile Option Values 11-May-2017 124115.xlsx")</f>
        <v>FND Profile Option Values 11-May-2017 124115.xlsx</v>
      </c>
      <c r="E394" t="s">
        <v>984</v>
      </c>
      <c r="F394" t="s">
        <v>985</v>
      </c>
    </row>
    <row r="395" spans="1:6" x14ac:dyDescent="0.2">
      <c r="A395" t="s">
        <v>219</v>
      </c>
      <c r="B395" t="s">
        <v>72</v>
      </c>
      <c r="C395" t="str" s="2">
        <f>HYPERLINK("https://www.enginatics.com/reports/fnd-profile-options","FND Profile Options")</f>
        <v>FND Profile Options</v>
      </c>
      <c r="D395" t="str" s="2">
        <f>HYPERLINK("https://www.enginatics.com/example/fnd-profile-options","FND Profile Options 03-Apr-2018 105618.xlsx")</f>
        <v>FND Profile Options 03-Apr-2018 105618.xlsx</v>
      </c>
      <c r="E395" t="s">
        <v>986</v>
      </c>
      <c r="F395" t="s">
        <v>987</v>
      </c>
    </row>
    <row r="396" spans="1:6" x14ac:dyDescent="0.2">
      <c r="A396" t="s">
        <v>219</v>
      </c>
      <c r="B396" t="s">
        <v>72</v>
      </c>
      <c r="C396" t="str" s="2">
        <f>HYPERLINK("https://www.enginatics.com/reports/fnd-request-groups","FND Request Groups")</f>
        <v>FND Request Groups</v>
      </c>
      <c r="D396" t="str" s="2">
        <f>HYPERLINK("https://www.enginatics.com/example/fnd-request-groups","FND Request Groups 27-Jun-2024 161133.xlsx")</f>
        <v>FND Request Groups 27-Jun-2024 161133.xlsx</v>
      </c>
      <c r="E396" t="s">
        <v>988</v>
      </c>
      <c r="F396" t="s">
        <v>989</v>
      </c>
    </row>
    <row r="397" spans="1:6" x14ac:dyDescent="0.2">
      <c r="A397" t="s">
        <v>219</v>
      </c>
      <c r="B397" t="s">
        <v>72</v>
      </c>
      <c r="C397" t="str" s="2">
        <f>HYPERLINK("https://www.enginatics.com/reports/fnd-responsibilities","FND Responsibilities")</f>
        <v>FND Responsibilities</v>
      </c>
      <c r="D397" t="str" s="2">
        <f>HYPERLINK("https://www.enginatics.com/example/fnd-responsibilities","FND Responsibilities 04-Aug-2024 171326.xlsx")</f>
        <v>FND Responsibilities 04-Aug-2024 171326.xlsx</v>
      </c>
      <c r="E397" t="s">
        <v>990</v>
      </c>
      <c r="F397" t="s">
        <v>991</v>
      </c>
    </row>
    <row r="398" spans="1:6" x14ac:dyDescent="0.2">
      <c r="A398" t="s">
        <v>219</v>
      </c>
      <c r="B398" t="s">
        <v>72</v>
      </c>
      <c r="C398" t="str" s="2">
        <f>HYPERLINK("https://www.enginatics.com/reports/fnd-responsibility-access","FND Responsibility Access")</f>
        <v>FND Responsibility Access</v>
      </c>
      <c r="D398" t="str" s="2">
        <f>HYPERLINK("https://www.enginatics.com/example/fnd-responsibility-access","FND Responsibility Access 19-Jul-2023 184210.xlsx")</f>
        <v>FND Responsibility Access 19-Jul-2023 184210.xlsx</v>
      </c>
      <c r="E398" t="s">
        <v>992</v>
      </c>
      <c r="F398" t="s">
        <v>993</v>
      </c>
    </row>
    <row r="399" spans="1:6" x14ac:dyDescent="0.2">
      <c r="A399" t="s">
        <v>219</v>
      </c>
      <c r="B399" t="s">
        <v>72</v>
      </c>
      <c r="C399" t="str" s="2">
        <f>HYPERLINK("https://www.enginatics.com/reports/fnd-responsibility-menu-exclusions","FND Responsibility Menu Exclusions")</f>
        <v>FND Responsibility Menu Exclusions</v>
      </c>
      <c r="D399" t="str" s="2">
        <f>HYPERLINK("https://www.enginatics.com/example/fnd-responsibility-menu-exclusions","FND Responsibility Menu Exclusions 23-Jan-2018 063112.xlsx")</f>
        <v>FND Responsibility Menu Exclusions 23-Jan-2018 063112.xlsx</v>
      </c>
      <c r="E399" t="s">
        <v>994</v>
      </c>
      <c r="F399" t="s">
        <v>995</v>
      </c>
    </row>
    <row r="400" spans="1:6" x14ac:dyDescent="0.2">
      <c r="A400" t="s">
        <v>219</v>
      </c>
      <c r="B400" t="s">
        <v>72</v>
      </c>
      <c r="C400" t="str" s="2">
        <f>HYPERLINK("https://www.enginatics.com/reports/fnd-role-hierarchy","FND Role Hierarchy")</f>
        <v>FND Role Hierarchy</v>
      </c>
      <c r="D400" t="str" s="2">
        <f>HYPERLINK("https://www.enginatics.com/example/fnd-role-hierarchy","FND Role Hierarchy 10-Jan-2021 133945.xlsx")</f>
        <v>FND Role Hierarchy 10-Jan-2021 133945.xlsx</v>
      </c>
      <c r="E400" t="s">
        <v>996</v>
      </c>
      <c r="F400" t="s">
        <v>997</v>
      </c>
    </row>
    <row r="401" spans="1:6" x14ac:dyDescent="0.2">
      <c r="A401" t="s">
        <v>219</v>
      </c>
      <c r="B401" t="s">
        <v>72</v>
      </c>
      <c r="C401" t="str" s="2">
        <f>HYPERLINK("https://www.enginatics.com/reports/fnd-roles","FND Roles")</f>
        <v>FND Roles</v>
      </c>
      <c r="D401" t="str" s="2">
        <f>HYPERLINK("https://www.enginatics.com/example/fnd-roles","FND Roles 10-Jan-2021 134007.xlsx")</f>
        <v>FND Roles 10-Jan-2021 134007.xlsx</v>
      </c>
      <c r="E401" t="s">
        <v>998</v>
      </c>
      <c r="F401" t="s">
        <v>999</v>
      </c>
    </row>
    <row r="402" spans="1:6" x14ac:dyDescent="0.2">
      <c r="A402" t="s">
        <v>219</v>
      </c>
      <c r="B402" t="s">
        <v>72</v>
      </c>
      <c r="C402" t="str" s="2">
        <f>HYPERLINK("https://www.enginatics.com/reports/fnd-rollup-groups","FND Rollup Groups")</f>
        <v>FND Rollup Groups</v>
      </c>
      <c r="D402" t="str" s="2">
        <f>HYPERLINK("https://www.enginatics.com/example/fnd-rollup-groups","FND Rollup Groups 25-Sep-2025 104414.xlsx")</f>
        <v>FND Rollup Groups 25-Sep-2025 104414.xlsx</v>
      </c>
      <c r="E402" t="s">
        <v>1000</v>
      </c>
      <c r="F402" t="s">
        <v>1001</v>
      </c>
    </row>
    <row r="403" spans="1:6" x14ac:dyDescent="0.2">
      <c r="A403" t="s">
        <v>219</v>
      </c>
      <c r="B403" t="s">
        <v>72</v>
      </c>
      <c r="C403" t="str" s="2">
        <f>HYPERLINK("https://www.enginatics.com/reports/fnd-soa-runtime-error","FND SOA Runtime Error")</f>
        <v>FND SOA Runtime Error</v>
      </c>
      <c r="D403" t="str" s="2">
        <f>HYPERLINK("https://www.enginatics.com/example/fnd-soa-runtime-error","FND SOA Runtime Error 30-Jul-2025 233404.xlsx")</f>
        <v>FND SOA Runtime Error 30-Jul-2025 233404.xlsx</v>
      </c>
      <c r="F403" t="s">
        <v>1002</v>
      </c>
    </row>
    <row r="404" spans="1:6" x14ac:dyDescent="0.2">
      <c r="A404" t="s">
        <v>219</v>
      </c>
      <c r="B404" t="s">
        <v>72</v>
      </c>
      <c r="C404" t="str" s="2">
        <f>HYPERLINK("https://www.enginatics.com/reports/fnd-tables-and-columns","FND Tables and Columns")</f>
        <v>FND Tables and Columns</v>
      </c>
      <c r="E404" t="s">
        <v>1003</v>
      </c>
      <c r="F404" t="s">
        <v>1004</v>
      </c>
    </row>
    <row r="405" spans="1:6" x14ac:dyDescent="0.2">
      <c r="A405" t="s">
        <v>219</v>
      </c>
      <c r="B405" t="s">
        <v>72</v>
      </c>
      <c r="C405" t="str" s="2">
        <f>HYPERLINK("https://www.enginatics.com/reports/fnd-user-login-history","FND User Login History")</f>
        <v>FND User Login History</v>
      </c>
      <c r="D405" t="str" s="2">
        <f>HYPERLINK("https://www.enginatics.com/example/fnd-user-login-history","FND User Login History 24-Jul-2021 233519.xlsx")</f>
        <v>FND User Login History 24-Jul-2021 233519.xlsx</v>
      </c>
      <c r="E405" t="s">
        <v>1005</v>
      </c>
      <c r="F405" t="s">
        <v>1006</v>
      </c>
    </row>
    <row r="406" spans="1:6" x14ac:dyDescent="0.2">
      <c r="A406" t="s">
        <v>219</v>
      </c>
      <c r="B406" t="s">
        <v>72</v>
      </c>
      <c r="C406" t="str" s="2">
        <f>HYPERLINK("https://www.enginatics.com/reports/fnd-user-login-page-favorites","FND User Login Page Favorites")</f>
        <v>FND User Login Page Favorites</v>
      </c>
      <c r="D406" t="str" s="2">
        <f>HYPERLINK("https://www.enginatics.com/example/fnd-user-login-page-favorites","FND User Login Page Favorites 20-Jan-2019 123147.xlsx")</f>
        <v>FND User Login Page Favorites 20-Jan-2019 123147.xlsx</v>
      </c>
      <c r="E406" t="s">
        <v>1007</v>
      </c>
      <c r="F406" t="s">
        <v>1008</v>
      </c>
    </row>
    <row r="407" spans="1:6" x14ac:dyDescent="0.2">
      <c r="A407" t="s">
        <v>219</v>
      </c>
      <c r="B407" t="s">
        <v>72</v>
      </c>
      <c r="C407" t="str" s="2">
        <f>HYPERLINK("https://www.enginatics.com/reports/fnd-user-login-summary","FND User Login Summary")</f>
        <v>FND User Login Summary</v>
      </c>
      <c r="E407" t="s">
        <v>1009</v>
      </c>
      <c r="F407" t="s">
        <v>1010</v>
      </c>
    </row>
    <row r="408" spans="1:6" x14ac:dyDescent="0.2">
      <c r="A408" t="s">
        <v>219</v>
      </c>
      <c r="B408" t="s">
        <v>72</v>
      </c>
      <c r="C408" t="str" s="2">
        <f>HYPERLINK("https://www.enginatics.com/reports/fnd-user-preferences","FND User Preferences")</f>
        <v>FND User Preferences</v>
      </c>
      <c r="D408" t="str" s="2">
        <f>HYPERLINK("https://www.enginatics.com/example/fnd-user-preferences","FND User Preferences 13-Apr-2026 184435.xlsx")</f>
        <v>FND User Preferences 13-Apr-2026 184435.xlsx</v>
      </c>
      <c r="E408" t="s">
        <v>1011</v>
      </c>
      <c r="F408" t="s">
        <v>1012</v>
      </c>
    </row>
    <row r="409" spans="1:6" x14ac:dyDescent="0.2">
      <c r="A409" t="s">
        <v>219</v>
      </c>
      <c r="B409" t="s">
        <v>72</v>
      </c>
      <c r="C409" t="str" s="2">
        <f>HYPERLINK("https://www.enginatics.com/reports/fnd-user-responsibilities","FND User Responsibilities")</f>
        <v>FND User Responsibilities</v>
      </c>
      <c r="D409" t="str" s="2">
        <f>HYPERLINK("https://www.enginatics.com/example/fnd-user-responsibilities","FND User Responsibilities 30-Sep-2018 174651.xlsx")</f>
        <v>FND User Responsibilities 30-Sep-2018 174651.xlsx</v>
      </c>
      <c r="E409" t="s">
        <v>1013</v>
      </c>
      <c r="F409" t="s">
        <v>1014</v>
      </c>
    </row>
    <row r="410" spans="1:6" x14ac:dyDescent="0.2">
      <c r="A410" t="s">
        <v>219</v>
      </c>
      <c r="B410" t="s">
        <v>72</v>
      </c>
      <c r="C410" t="str" s="2">
        <f>HYPERLINK("https://www.enginatics.com/reports/fnd-user-roles","FND User Roles")</f>
        <v>FND User Roles</v>
      </c>
      <c r="D410" t="str" s="2">
        <f>HYPERLINK("https://www.enginatics.com/example/fnd-user-roles","FND User Roles 10-Jan-2021 130904.xlsx")</f>
        <v>FND User Roles 10-Jan-2021 130904.xlsx</v>
      </c>
      <c r="E410" t="s">
        <v>1015</v>
      </c>
      <c r="F410" t="s">
        <v>1016</v>
      </c>
    </row>
    <row r="411" spans="1:6" x14ac:dyDescent="0.2">
      <c r="A411" t="s">
        <v>219</v>
      </c>
      <c r="B411" t="s">
        <v>72</v>
      </c>
      <c r="C411" t="str" s="2">
        <f>HYPERLINK("https://www.enginatics.com/reports/fnd-users","FND Users")</f>
        <v>FND Users</v>
      </c>
      <c r="D411" t="str" s="2">
        <f>HYPERLINK("https://www.enginatics.com/example/fnd-users","FND Users 02-Mar-2021 114505.xlsx")</f>
        <v>FND Users 02-Mar-2021 114505.xlsx</v>
      </c>
      <c r="E411" t="s">
        <v>1017</v>
      </c>
      <c r="F411" t="s">
        <v>1018</v>
      </c>
    </row>
    <row r="412" spans="1:6" x14ac:dyDescent="0.2">
      <c r="A412" t="s">
        <v>219</v>
      </c>
      <c r="C412" t="str" s="2">
        <f>HYPERLINK("https://www.enginatics.com/reports/fsg-drilldown-diagnostic","FSG Drilldown Diagnostic")</f>
        <v>FSG Drilldown Diagnostic</v>
      </c>
      <c r="E412" t="s">
        <v>1019</v>
      </c>
      <c r="F412" t="s">
        <v>1020</v>
      </c>
    </row>
    <row r="413" spans="1:6" x14ac:dyDescent="0.2">
      <c r="A413" t="s">
        <v>219</v>
      </c>
      <c r="B413" t="s">
        <v>83</v>
      </c>
      <c r="C413" t="str" s="2">
        <f>HYPERLINK("https://www.enginatics.com/reports/gl-account-analysis","GL Account Analysis")</f>
        <v>GL Account Analysis</v>
      </c>
      <c r="D413" t="str" s="2">
        <f>HYPERLINK("https://www.enginatics.com/example/gl-account-analysis","GL Account Analysis - Pivot by Account Hierarchy 17-Jan-2023 194056.xlsx")</f>
        <v>GL Account Analysis - Pivot by Account Hierarchy 17-Jan-2023 194056.xlsx</v>
      </c>
      <c r="E413" t="s">
        <v>1021</v>
      </c>
      <c r="F413" t="s">
        <v>1022</v>
      </c>
    </row>
    <row r="414" spans="1:6" x14ac:dyDescent="0.2">
      <c r="A414" t="s">
        <v>219</v>
      </c>
      <c r="B414" t="s">
        <v>83</v>
      </c>
      <c r="C414" t="str" s="2">
        <f>HYPERLINK("https://www.enginatics.com/reports/gl-account-analysis-11g","GL Account Analysis 11g")</f>
        <v>GL Account Analysis 11g</v>
      </c>
      <c r="E414" t="s">
        <v>1023</v>
      </c>
      <c r="F414" t="s">
        <v>1024</v>
      </c>
    </row>
    <row r="415" spans="1:6" x14ac:dyDescent="0.2">
      <c r="A415" t="s">
        <v>219</v>
      </c>
      <c r="B415" t="s">
        <v>83</v>
      </c>
      <c r="C415" t="str" s="2">
        <f>HYPERLINK("https://www.enginatics.com/reports/gl-account-distribution-analysis","GL Account Distribution Analysis")</f>
        <v>GL Account Distribution Analysis</v>
      </c>
      <c r="E415" t="s">
        <v>1025</v>
      </c>
      <c r="F415" t="s">
        <v>1026</v>
      </c>
    </row>
    <row r="416" spans="1:6" x14ac:dyDescent="0.2">
      <c r="A416" t="s">
        <v>219</v>
      </c>
      <c r="B416" t="s">
        <v>83</v>
      </c>
      <c r="C416" t="str" s="2">
        <f>HYPERLINK("https://www.enginatics.com/reports/gl-balance","GL Balance")</f>
        <v>GL Balance</v>
      </c>
      <c r="D416" t="str" s="2">
        <f>HYPERLINK("https://www.enginatics.com/example/gl-balance","GL Balance - Pivot by Account Hierarchy 26-Sep-2023 182804.xlsx")</f>
        <v>GL Balance - Pivot by Account Hierarchy 26-Sep-2023 182804.xlsx</v>
      </c>
      <c r="E416" t="s">
        <v>1027</v>
      </c>
      <c r="F416" t="s">
        <v>1028</v>
      </c>
    </row>
    <row r="417" spans="1:6" x14ac:dyDescent="0.2">
      <c r="A417" t="s">
        <v>219</v>
      </c>
      <c r="B417" t="s">
        <v>83</v>
      </c>
      <c r="C417" t="str" s="2">
        <f>HYPERLINK("https://www.enginatics.com/reports/gl-balance-drilldown","GL Balance Drilldown")</f>
        <v>GL Balance Drilldown</v>
      </c>
      <c r="E417" t="s">
        <v>1029</v>
      </c>
      <c r="F417" t="s">
        <v>1030</v>
      </c>
    </row>
    <row r="418" spans="1:6" x14ac:dyDescent="0.2">
      <c r="A418" t="s">
        <v>219</v>
      </c>
      <c r="B418" t="s">
        <v>83</v>
      </c>
      <c r="C418" t="str" s="2">
        <f>HYPERLINK("https://www.enginatics.com/reports/gl-balance-by-account-hierarchy","GL Balance by Account Hierarchy")</f>
        <v>GL Balance by Account Hierarchy</v>
      </c>
      <c r="D418" t="str" s="2">
        <f>HYPERLINK("https://www.enginatics.com/example/gl-balance-by-account-hierarchy","GL Balance by Account Hierarchy 12-Nov-2020 012923.xlsx")</f>
        <v>GL Balance by Account Hierarchy 12-Nov-2020 012923.xlsx</v>
      </c>
      <c r="E418" t="s">
        <v>1031</v>
      </c>
      <c r="F418" t="s">
        <v>1032</v>
      </c>
    </row>
    <row r="419" spans="1:6" x14ac:dyDescent="0.2">
      <c r="A419" t="s">
        <v>219</v>
      </c>
      <c r="B419" t="s">
        <v>83</v>
      </c>
      <c r="C419" t="str" s="2">
        <f>HYPERLINK("https://www.enginatics.com/reports/gl-chart-of-accounts-mapping-rules(1)","GL Chart of Accounts Mapping Rules")</f>
        <v>GL Chart of Accounts Mapping Rules</v>
      </c>
      <c r="D419" t="str" s="2">
        <f>HYPERLINK("https://www.enginatics.com/example/gl-chart-of-accounts-mapping-rules(1)","GL Chart of Accounts Mapping Rules 19-May-2026 145746.xlsx")</f>
        <v>GL Chart of Accounts Mapping Rules 19-May-2026 145746.xlsx</v>
      </c>
      <c r="E419" t="s">
        <v>1033</v>
      </c>
      <c r="F419" t="s">
        <v>1034</v>
      </c>
    </row>
    <row r="420" spans="1:6" x14ac:dyDescent="0.2">
      <c r="A420" t="s">
        <v>219</v>
      </c>
      <c r="B420" t="s">
        <v>83</v>
      </c>
      <c r="C420" t="str" s="2">
        <f>HYPERLINK("https://www.enginatics.com/reports/gl-code-combinations","GL Code Combinations")</f>
        <v>GL Code Combinations</v>
      </c>
      <c r="D420" t="str" s="2">
        <f>HYPERLINK("https://www.enginatics.com/example/gl-code-combinations","GL Code Combinations 31-May-2025 130542.xlsx")</f>
        <v>GL Code Combinations 31-May-2025 130542.xlsx</v>
      </c>
      <c r="E420" t="s">
        <v>1035</v>
      </c>
      <c r="F420" t="s">
        <v>1036</v>
      </c>
    </row>
    <row r="421" spans="1:6" x14ac:dyDescent="0.2">
      <c r="A421" t="s">
        <v>219</v>
      </c>
      <c r="B421" t="s">
        <v>83</v>
      </c>
      <c r="C421" t="str" s="2">
        <f>HYPERLINK("https://www.enginatics.com/reports/gl-daily-rates","GL Daily Rates")</f>
        <v>GL Daily Rates</v>
      </c>
      <c r="D421" t="str" s="2">
        <f>HYPERLINK("https://www.enginatics.com/example/gl-daily-rates","GL Daily Rates 04-Apr-2026 123137.xlsx")</f>
        <v>GL Daily Rates 04-Apr-2026 123137.xlsx</v>
      </c>
      <c r="E421" t="s">
        <v>1037</v>
      </c>
      <c r="F421" t="s">
        <v>1038</v>
      </c>
    </row>
    <row r="422" spans="1:6" x14ac:dyDescent="0.2">
      <c r="A422" t="s">
        <v>219</v>
      </c>
      <c r="B422" t="s">
        <v>83</v>
      </c>
      <c r="C422" t="str" s="2">
        <f>HYPERLINK("https://www.enginatics.com/reports/gl-data-access-sets","GL Data Access Sets")</f>
        <v>GL Data Access Sets</v>
      </c>
      <c r="D422" t="str" s="2">
        <f>HYPERLINK("https://www.enginatics.com/example/gl-data-access-sets","GL Data Access Sets 12-Apr-2019 022216.xlsx")</f>
        <v>GL Data Access Sets 12-Apr-2019 022216.xlsx</v>
      </c>
      <c r="E422" t="s">
        <v>1039</v>
      </c>
      <c r="F422" t="s">
        <v>1040</v>
      </c>
    </row>
    <row r="423" spans="1:6" x14ac:dyDescent="0.2">
      <c r="A423" t="s">
        <v>219</v>
      </c>
      <c r="B423" t="s">
        <v>83</v>
      </c>
      <c r="C423" t="str" s="2">
        <f>HYPERLINK("https://www.enginatics.com/reports/gl-fsg-reports","GL FSG Reports")</f>
        <v>GL FSG Reports</v>
      </c>
      <c r="D423" t="str" s="2">
        <f>HYPERLINK("https://www.enginatics.com/example/gl-fsg-reports","GL FSG Reports 09-Jan-2022 110407.xlsx")</f>
        <v>GL FSG Reports 09-Jan-2022 110407.xlsx</v>
      </c>
      <c r="E423" t="s">
        <v>1041</v>
      </c>
      <c r="F423" t="s">
        <v>1042</v>
      </c>
    </row>
    <row r="424" spans="1:6" x14ac:dyDescent="0.2">
      <c r="A424" t="s">
        <v>219</v>
      </c>
      <c r="B424" t="s">
        <v>83</v>
      </c>
      <c r="C424" t="str" s="2">
        <f>HYPERLINK("https://www.enginatics.com/reports/gl-fsg-row-orders","GL FSG Row Orders")</f>
        <v>GL FSG Row Orders</v>
      </c>
      <c r="D424" t="str" s="2">
        <f>HYPERLINK("https://www.enginatics.com/example/gl-fsg-row-orders","GL FSG Row Orders 09-Jan-2022 110120.xlsx")</f>
        <v>GL FSG Row Orders 09-Jan-2022 110120.xlsx</v>
      </c>
      <c r="E424" t="s">
        <v>1043</v>
      </c>
      <c r="F424" t="s">
        <v>1044</v>
      </c>
    </row>
    <row r="425" spans="1:6" x14ac:dyDescent="0.2">
      <c r="A425" t="s">
        <v>219</v>
      </c>
      <c r="B425" t="s">
        <v>83</v>
      </c>
      <c r="C425" t="str" s="2">
        <f>HYPERLINK("https://www.enginatics.com/reports/gl-header-categories-summary","GL Header Categories Summary")</f>
        <v>GL Header Categories Summary</v>
      </c>
      <c r="D425" t="str" s="2">
        <f>HYPERLINK("https://www.enginatics.com/example/gl-header-categories-summary","GL Header Categories Summary 23-Jul-2017 160240.xlsx")</f>
        <v>GL Header Categories Summary 23-Jul-2017 160240.xlsx</v>
      </c>
      <c r="E425" t="s">
        <v>1045</v>
      </c>
      <c r="F425" t="s">
        <v>1046</v>
      </c>
    </row>
    <row r="426" spans="1:6" x14ac:dyDescent="0.2">
      <c r="A426" t="s">
        <v>219</v>
      </c>
      <c r="B426" t="s">
        <v>83</v>
      </c>
      <c r="C426" t="str" s="2">
        <f>HYPERLINK("https://www.enginatics.com/reports/gl-journals","GL Journals")</f>
        <v>GL Journals</v>
      </c>
      <c r="D426" t="str" s="2">
        <f>HYPERLINK("https://www.enginatics.com/example/gl-journals","GL Journals 30-Apr-2021 220634.xlsx")</f>
        <v>GL Journals 30-Apr-2021 220634.xlsx</v>
      </c>
      <c r="E426" t="s">
        <v>1047</v>
      </c>
      <c r="F426" t="s">
        <v>1048</v>
      </c>
    </row>
    <row r="427" spans="1:6" x14ac:dyDescent="0.2">
      <c r="A427" t="s">
        <v>219</v>
      </c>
      <c r="B427" t="s">
        <v>83</v>
      </c>
      <c r="C427" t="str" s="2">
        <f>HYPERLINK("https://www.enginatics.com/reports/gl-journals-drilldown-11g","GL Journals (Drilldown) 11g")</f>
        <v>GL Journals (Drilldown) 11g</v>
      </c>
      <c r="E427" t="s">
        <v>1049</v>
      </c>
      <c r="F427" t="s">
        <v>1050</v>
      </c>
    </row>
    <row r="428" spans="1:6" x14ac:dyDescent="0.2">
      <c r="A428" t="s">
        <v>219</v>
      </c>
      <c r="B428" t="s">
        <v>83</v>
      </c>
      <c r="C428" t="str" s="2">
        <f>HYPERLINK("https://www.enginatics.com/reports/gl-ledger-sets","GL Ledger Sets")</f>
        <v>GL Ledger Sets</v>
      </c>
      <c r="D428" t="str" s="2">
        <f>HYPERLINK("https://www.enginatics.com/example/gl-ledger-sets","GL Ledger Sets 04-Apr-2026 123137.xlsx")</f>
        <v>GL Ledger Sets 04-Apr-2026 123137.xlsx</v>
      </c>
      <c r="E428" t="s">
        <v>1051</v>
      </c>
      <c r="F428" t="s">
        <v>1052</v>
      </c>
    </row>
    <row r="429" spans="1:6" x14ac:dyDescent="0.2">
      <c r="A429" t="s">
        <v>219</v>
      </c>
      <c r="B429" t="s">
        <v>83</v>
      </c>
      <c r="C429" t="str" s="2">
        <f>HYPERLINK("https://www.enginatics.com/reports/gl-ledgers-and-legal-entities","GL Ledgers and Legal Entities")</f>
        <v>GL Ledgers and Legal Entities</v>
      </c>
      <c r="D429" t="str" s="2">
        <f>HYPERLINK("https://www.enginatics.com/example/gl-ledgers-and-legal-entities","GL Ledgers and Legal Entities 11-Mar-2020 085737.xlsx")</f>
        <v>GL Ledgers and Legal Entities 11-Mar-2020 085737.xlsx</v>
      </c>
      <c r="E429" t="s">
        <v>1053</v>
      </c>
      <c r="F429" t="s">
        <v>1054</v>
      </c>
    </row>
    <row r="430" spans="1:6" x14ac:dyDescent="0.2">
      <c r="A430" t="s">
        <v>219</v>
      </c>
      <c r="B430" t="s">
        <v>83</v>
      </c>
      <c r="C430" t="str" s="2">
        <f>HYPERLINK("https://www.enginatics.com/reports/gl-ledgers-and-organizations","GL Ledgers and Organizations")</f>
        <v>GL Ledgers and Organizations</v>
      </c>
      <c r="D430" t="str" s="2">
        <f>HYPERLINK("https://www.enginatics.com/example/gl-ledgers-and-organizations","GL Ledgers and Organizations 11-Mar-2020 070723.xlsx")</f>
        <v>GL Ledgers and Organizations 11-Mar-2020 070723.xlsx</v>
      </c>
      <c r="E430" t="s">
        <v>1055</v>
      </c>
      <c r="F430" t="s">
        <v>1056</v>
      </c>
    </row>
    <row r="431" spans="1:6" x14ac:dyDescent="0.2">
      <c r="A431" t="s">
        <v>219</v>
      </c>
      <c r="B431" t="s">
        <v>83</v>
      </c>
      <c r="C431" t="str" s="2">
        <f>HYPERLINK("https://www.enginatics.com/reports/gl-oracle-fsg-converter","GL Oracle FSG Converter")</f>
        <v>GL Oracle FSG Converter</v>
      </c>
      <c r="D431" t="str" s="2">
        <f>HYPERLINK("https://www.enginatics.com/example/gl-oracle-fsg-converter","GL Oracle FSG Converter 04-Nov-2025 235558.xlsx")</f>
        <v>GL Oracle FSG Converter 04-Nov-2025 235558.xlsx</v>
      </c>
      <c r="E431" t="s">
        <v>1057</v>
      </c>
      <c r="F431" t="s">
        <v>1058</v>
      </c>
    </row>
    <row r="432" spans="1:6" x14ac:dyDescent="0.2">
      <c r="A432" t="s">
        <v>219</v>
      </c>
      <c r="B432" t="s">
        <v>83</v>
      </c>
      <c r="C432" t="str" s="2">
        <f>HYPERLINK("https://www.enginatics.com/reports/gl-oracle-fsg-converter-11g","GL Oracle FSG Converter 11g")</f>
        <v>GL Oracle FSG Converter 11g</v>
      </c>
      <c r="E432" t="s">
        <v>1059</v>
      </c>
      <c r="F432" t="s">
        <v>1060</v>
      </c>
    </row>
    <row r="433" spans="1:6" x14ac:dyDescent="0.2">
      <c r="A433" t="s">
        <v>219</v>
      </c>
      <c r="B433" t="s">
        <v>83</v>
      </c>
      <c r="C433" t="str" s="2">
        <f>HYPERLINK("https://www.enginatics.com/reports/gl-period-status","GL Period Status")</f>
        <v>GL Period Status</v>
      </c>
      <c r="E433" t="s">
        <v>1061</v>
      </c>
      <c r="F433" t="s">
        <v>1062</v>
      </c>
    </row>
    <row r="434" spans="1:6" x14ac:dyDescent="0.2">
      <c r="A434" t="s">
        <v>219</v>
      </c>
      <c r="B434" t="s">
        <v>83</v>
      </c>
      <c r="C434" t="str" s="2">
        <f>HYPERLINK("https://www.enginatics.com/reports/gl-periods","GL Periods")</f>
        <v>GL Periods</v>
      </c>
      <c r="D434" t="str" s="2">
        <f>HYPERLINK("https://www.enginatics.com/example/gl-periods","GL Periods 24-May-2025 162348.xlsx")</f>
        <v>GL Periods 24-May-2025 162348.xlsx</v>
      </c>
      <c r="E434" t="s">
        <v>1063</v>
      </c>
      <c r="F434" t="s">
        <v>1064</v>
      </c>
    </row>
    <row r="435" spans="1:6" x14ac:dyDescent="0.2">
      <c r="A435" t="s">
        <v>219</v>
      </c>
      <c r="B435" t="s">
        <v>83</v>
      </c>
      <c r="C435" t="str" s="2">
        <f>HYPERLINK("https://www.enginatics.com/reports/gl-summary-templates","GL Summary Templates")</f>
        <v>GL Summary Templates</v>
      </c>
      <c r="D435" t="str" s="2">
        <f>HYPERLINK("https://www.enginatics.com/example/gl-summary-templates","GL Summary Templates 09-Jul-2019 140636.xlsx")</f>
        <v>GL Summary Templates 09-Jul-2019 140636.xlsx</v>
      </c>
      <c r="E435" t="s">
        <v>1065</v>
      </c>
      <c r="F435" t="s">
        <v>1066</v>
      </c>
    </row>
    <row r="436" spans="1:6" x14ac:dyDescent="0.2">
      <c r="A436" t="s">
        <v>219</v>
      </c>
      <c r="B436" t="s">
        <v>83</v>
      </c>
      <c r="C436" t="str" s="2">
        <f>HYPERLINK("https://www.enginatics.com/reports/gl-trial-balance-detail","GL Trial Balance - Detail")</f>
        <v>GL Trial Balance - Detail</v>
      </c>
      <c r="D436" t="str" s="2">
        <f>HYPERLINK("https://www.enginatics.com/example/gl-trial-balance-detail","GL Trial Balance - Detail - Trial Balance Pivot 19-Jul-2023 164357.xlsx")</f>
        <v>GL Trial Balance - Detail - Trial Balance Pivot 19-Jul-2023 164357.xlsx</v>
      </c>
      <c r="E436" t="s">
        <v>1067</v>
      </c>
      <c r="F436" t="s">
        <v>1068</v>
      </c>
    </row>
    <row r="437" spans="1:6" x14ac:dyDescent="0.2">
      <c r="A437" t="s">
        <v>219</v>
      </c>
      <c r="B437" t="s">
        <v>83</v>
      </c>
      <c r="C437" t="str" s="2">
        <f>HYPERLINK("https://www.enginatics.com/reports/gl-effective-vs-accounting-vs-period-start-and-end-date-comparison","GL effective vs accounting vs period start and end date comparison")</f>
        <v>GL effective vs accounting vs period start and end date comparison</v>
      </c>
      <c r="D437" t="str" s="2">
        <f>HYPERLINK("https://www.enginatics.com/example/gl-effective-vs-accounting-vs-period-start-and-end-date-comparison","GL effective vs accounting vs period start and end date comparison 11-Aug-2025 112858.xlsx")</f>
        <v>GL effective vs accounting vs period start and end date comparison 11-Aug-2025 112858.xlsx</v>
      </c>
      <c r="E437" t="s">
        <v>1069</v>
      </c>
      <c r="F437" t="s">
        <v>1070</v>
      </c>
    </row>
    <row r="438" spans="1:6" x14ac:dyDescent="0.2">
      <c r="A438" t="s">
        <v>219</v>
      </c>
      <c r="B438" t="s">
        <v>1071</v>
      </c>
      <c r="C438" t="str" s="2">
        <f>HYPERLINK("https://www.enginatics.com/reports/gmi-cycle-count-forms","GMI Cycle Count Forms")</f>
        <v>GMI Cycle Count Forms</v>
      </c>
      <c r="D438" t="str" s="2">
        <f>HYPERLINK("https://www.enginatics.com/example/gmi-cycle-count-forms","GMI Cycle Count Forms 25-Dec-2021 171514.xlsx")</f>
        <v>GMI Cycle Count Forms 25-Dec-2021 171514.xlsx</v>
      </c>
      <c r="E438" t="s">
        <v>1072</v>
      </c>
      <c r="F438" t="s">
        <v>1073</v>
      </c>
    </row>
    <row r="439" spans="1:6" x14ac:dyDescent="0.2">
      <c r="A439" t="s">
        <v>219</v>
      </c>
      <c r="B439" t="s">
        <v>1074</v>
      </c>
      <c r="C439" t="str" s="2">
        <f>HYPERLINK("https://www.enginatics.com/reports/iby-payment-process-request-details","IBY Payment Process Request Details")</f>
        <v>IBY Payment Process Request Details</v>
      </c>
      <c r="D439" t="str" s="2">
        <f>HYPERLINK("https://www.enginatics.com/example/iby-payment-process-request-details","IBY Payment Process Request Details 25-Jan-2021 024851.xlsx")</f>
        <v>IBY Payment Process Request Details 25-Jan-2021 024851.xlsx</v>
      </c>
      <c r="E439" t="s">
        <v>1075</v>
      </c>
      <c r="F439" t="s">
        <v>1076</v>
      </c>
    </row>
    <row r="440" spans="1:6" x14ac:dyDescent="0.2">
      <c r="A440" t="s">
        <v>219</v>
      </c>
      <c r="B440" t="s">
        <v>100</v>
      </c>
      <c r="C440" t="str" s="2">
        <f>HYPERLINK("https://www.enginatics.com/reports/inv-abc-assignments","INV ABC assignments")</f>
        <v>INV ABC assignments</v>
      </c>
      <c r="D440" t="str" s="2">
        <f>HYPERLINK("https://www.enginatics.com/example/inv-abc-assignments","INV ABC assignments 04-Apr-2026 123137.xlsx")</f>
        <v>INV ABC assignments 04-Apr-2026 123137.xlsx</v>
      </c>
      <c r="E440" t="s">
        <v>1077</v>
      </c>
      <c r="F440" t="s">
        <v>1078</v>
      </c>
    </row>
    <row r="441" spans="1:6" x14ac:dyDescent="0.2">
      <c r="A441" t="s">
        <v>219</v>
      </c>
      <c r="B441" t="s">
        <v>100</v>
      </c>
      <c r="C441" t="str" s="2">
        <f>HYPERLINK("https://www.enginatics.com/reports/inv-aging","INV Aging")</f>
        <v>INV Aging</v>
      </c>
      <c r="D441" t="str" s="2">
        <f>HYPERLINK("https://www.enginatics.com/example/inv-aging","INV Aging - Default Pivot 20-Aug-2024 085922.xlsx")</f>
        <v>INV Aging - Default Pivot 20-Aug-2024 085922.xlsx</v>
      </c>
      <c r="E441" t="s">
        <v>1079</v>
      </c>
      <c r="F441" t="s">
        <v>1080</v>
      </c>
    </row>
    <row r="442" spans="1:6" x14ac:dyDescent="0.2">
      <c r="A442" t="s">
        <v>219</v>
      </c>
      <c r="B442" t="s">
        <v>100</v>
      </c>
      <c r="C442" t="str" s="2">
        <f>HYPERLINK("https://www.enginatics.com/reports/inv-cycle-count-entries-and-adjustments","INV Cycle count entries and adjustments")</f>
        <v>INV Cycle count entries and adjustments</v>
      </c>
      <c r="D442" t="str" s="2">
        <f>HYPERLINK("https://www.enginatics.com/example/inv-cycle-count-entries-and-adjustments","INV Cycle count entries and adjustments - Summarized view 27-Oct-2021 210011.xlsm")</f>
        <v>INV Cycle count entries and adjustments - Summarized view 27-Oct-2021 210011.xlsm</v>
      </c>
      <c r="E442" t="s">
        <v>1081</v>
      </c>
      <c r="F442" t="s">
        <v>1082</v>
      </c>
    </row>
    <row r="443" spans="1:6" x14ac:dyDescent="0.2">
      <c r="A443" t="s">
        <v>219</v>
      </c>
      <c r="B443" t="s">
        <v>100</v>
      </c>
      <c r="C443" t="str" s="2">
        <f>HYPERLINK("https://www.enginatics.com/reports/inv-cycle-count-hit-miss-analysis","INV Cycle count hit/miss analysis")</f>
        <v>INV Cycle count hit/miss analysis</v>
      </c>
      <c r="D443" t="str" s="2">
        <f>HYPERLINK("https://www.enginatics.com/example/inv-cycle-count-hit-miss-analysis","INV Cycle count hit miss analysis 10-Mar-2026 205843.xlsx")</f>
        <v>INV Cycle count hit miss analysis 10-Mar-2026 205843.xlsx</v>
      </c>
      <c r="E443" t="s">
        <v>1083</v>
      </c>
      <c r="F443" t="s">
        <v>1084</v>
      </c>
    </row>
    <row r="444" spans="1:6" x14ac:dyDescent="0.2">
      <c r="A444" t="s">
        <v>219</v>
      </c>
      <c r="B444" t="s">
        <v>100</v>
      </c>
      <c r="C444" t="str" s="2">
        <f>HYPERLINK("https://www.enginatics.com/reports/inv-cycle-count-listing","INV Cycle count listing")</f>
        <v>INV Cycle count listing</v>
      </c>
      <c r="E444" t="s">
        <v>1085</v>
      </c>
      <c r="F444" t="s">
        <v>1086</v>
      </c>
    </row>
    <row r="445" spans="1:6" x14ac:dyDescent="0.2">
      <c r="A445" t="s">
        <v>219</v>
      </c>
      <c r="B445" t="s">
        <v>100</v>
      </c>
      <c r="C445" t="str" s="2">
        <f>HYPERLINK("https://www.enginatics.com/reports/inv-cycle-count-open-requests-listing","INV Cycle count open requests listing")</f>
        <v>INV Cycle count open requests listing</v>
      </c>
      <c r="E445" t="s">
        <v>1087</v>
      </c>
      <c r="F445" t="s">
        <v>1088</v>
      </c>
    </row>
    <row r="446" spans="1:6" x14ac:dyDescent="0.2">
      <c r="A446" t="s">
        <v>219</v>
      </c>
      <c r="B446" t="s">
        <v>100</v>
      </c>
      <c r="C446" t="str" s="2">
        <f>HYPERLINK("https://www.enginatics.com/reports/inv-cycle-count-schedule-requests","INV Cycle count schedule requests")</f>
        <v>INV Cycle count schedule requests</v>
      </c>
      <c r="E446" t="s">
        <v>1089</v>
      </c>
      <c r="F446" t="s">
        <v>1090</v>
      </c>
    </row>
    <row r="447" spans="1:6" x14ac:dyDescent="0.2">
      <c r="A447" t="s">
        <v>219</v>
      </c>
      <c r="B447" t="s">
        <v>100</v>
      </c>
      <c r="C447" t="str" s="2">
        <f>HYPERLINK("https://www.enginatics.com/reports/inv-cycle-count-unscheduled-items","INV Cycle count unscheduled items")</f>
        <v>INV Cycle count unscheduled items</v>
      </c>
      <c r="E447" t="s">
        <v>1091</v>
      </c>
      <c r="F447" t="s">
        <v>1092</v>
      </c>
    </row>
    <row r="448" spans="1:6" x14ac:dyDescent="0.2">
      <c r="A448" t="s">
        <v>219</v>
      </c>
      <c r="B448" t="s">
        <v>100</v>
      </c>
      <c r="C448" t="str" s="2">
        <f>HYPERLINK("https://www.enginatics.com/reports/inv-cycle-counts-pending-approval","INV Cycle counts pending approval")</f>
        <v>INV Cycle counts pending approval</v>
      </c>
      <c r="E448" t="s">
        <v>1093</v>
      </c>
      <c r="F448" t="s">
        <v>1094</v>
      </c>
    </row>
    <row r="449" spans="1:6" x14ac:dyDescent="0.2">
      <c r="A449" t="s">
        <v>219</v>
      </c>
      <c r="B449" t="s">
        <v>100</v>
      </c>
      <c r="C449" t="str" s="2">
        <f>HYPERLINK("https://www.enginatics.com/reports/inv-default-category-sets","INV Default Category Sets")</f>
        <v>INV Default Category Sets</v>
      </c>
      <c r="D449" t="str" s="2">
        <f>HYPERLINK("https://www.enginatics.com/example/inv-default-category-sets","INV Default Category Sets 03-Apr-2018 110157.xlsx")</f>
        <v>INV Default Category Sets 03-Apr-2018 110157.xlsx</v>
      </c>
      <c r="E449" t="s">
        <v>1095</v>
      </c>
      <c r="F449" t="s">
        <v>1096</v>
      </c>
    </row>
    <row r="450" spans="1:6" x14ac:dyDescent="0.2">
      <c r="A450" t="s">
        <v>219</v>
      </c>
      <c r="B450" t="s">
        <v>100</v>
      </c>
      <c r="C450" t="str" s="2">
        <f>HYPERLINK("https://www.enginatics.com/reports/inv-intercompany-invoice-reconciliation","INV Intercompany Invoice Reconciliation")</f>
        <v>INV Intercompany Invoice Reconciliation</v>
      </c>
      <c r="D450" t="str" s="2">
        <f>HYPERLINK("https://www.enginatics.com/example/inv-intercompany-invoice-reconciliation","INV Intercompany Invoice Reconciliation 28-Nov-2020 110524.xlsx")</f>
        <v>INV Intercompany Invoice Reconciliation 28-Nov-2020 110524.xlsx</v>
      </c>
      <c r="E450" t="s">
        <v>1097</v>
      </c>
      <c r="F450" t="s">
        <v>1098</v>
      </c>
    </row>
    <row r="451" spans="1:6" x14ac:dyDescent="0.2">
      <c r="A451" t="s">
        <v>219</v>
      </c>
      <c r="B451" t="s">
        <v>100</v>
      </c>
      <c r="C451" t="str" s="2">
        <f>HYPERLINK("https://www.enginatics.com/reports/inv-item-attribute-master-child-conflicts","INV Item Attribute Master/Child Conflicts")</f>
        <v>INV Item Attribute Master/Child Conflicts</v>
      </c>
      <c r="D451" t="str" s="2">
        <f>HYPERLINK("https://www.enginatics.com/example/inv-item-attribute-master-child-conflicts","INV Item Attribute Master Child Conflicts 04-Apr-2026 123137.xlsx")</f>
        <v>INV Item Attribute Master Child Conflicts 04-Apr-2026 123137.xlsx</v>
      </c>
      <c r="E451" t="s">
        <v>1099</v>
      </c>
      <c r="F451" t="s">
        <v>1100</v>
      </c>
    </row>
    <row r="452" spans="1:6" x14ac:dyDescent="0.2">
      <c r="A452" t="s">
        <v>219</v>
      </c>
      <c r="B452" t="s">
        <v>100</v>
      </c>
      <c r="C452" t="str" s="2">
        <f>HYPERLINK("https://www.enginatics.com/reports/inv-item-catalog-descriptive-elements","INV Item Catalog Descriptive Elements")</f>
        <v>INV Item Catalog Descriptive Elements</v>
      </c>
      <c r="E452" t="s">
        <v>1101</v>
      </c>
      <c r="F452" t="s">
        <v>1102</v>
      </c>
    </row>
    <row r="453" spans="1:6" x14ac:dyDescent="0.2">
      <c r="A453" t="s">
        <v>219</v>
      </c>
      <c r="B453" t="s">
        <v>100</v>
      </c>
      <c r="C453" t="str" s="2">
        <f>HYPERLINK("https://www.enginatics.com/reports/inv-item-category-assignment","INV Item Category Assignment")</f>
        <v>INV Item Category Assignment</v>
      </c>
      <c r="E453" t="s">
        <v>1103</v>
      </c>
      <c r="F453" t="s">
        <v>1104</v>
      </c>
    </row>
    <row r="454" spans="1:6" x14ac:dyDescent="0.2">
      <c r="A454" t="s">
        <v>219</v>
      </c>
      <c r="B454" t="s">
        <v>100</v>
      </c>
      <c r="C454" t="str" s="2">
        <f>HYPERLINK("https://www.enginatics.com/reports/inv-item-category-sets","INV Item Category Sets")</f>
        <v>INV Item Category Sets</v>
      </c>
      <c r="D454" t="str" s="2">
        <f>HYPERLINK("https://www.enginatics.com/example/inv-item-category-sets","INV Item Category Sets 18-Jan-2018 222818.xlsx")</f>
        <v>INV Item Category Sets 18-Jan-2018 222818.xlsx</v>
      </c>
      <c r="F454" t="s">
        <v>1105</v>
      </c>
    </row>
    <row r="455" spans="1:6" x14ac:dyDescent="0.2">
      <c r="A455" t="s">
        <v>219</v>
      </c>
      <c r="B455" t="s">
        <v>100</v>
      </c>
      <c r="C455" t="str" s="2">
        <f>HYPERLINK("https://www.enginatics.com/reports/inv-item-default-transaction-locators","INV Item Default Transaction Locators")</f>
        <v>INV Item Default Transaction Locators</v>
      </c>
      <c r="E455" t="s">
        <v>1106</v>
      </c>
      <c r="F455" t="s">
        <v>1107</v>
      </c>
    </row>
    <row r="456" spans="1:6" x14ac:dyDescent="0.2">
      <c r="A456" t="s">
        <v>219</v>
      </c>
      <c r="B456" t="s">
        <v>100</v>
      </c>
      <c r="C456" t="str" s="2">
        <f>HYPERLINK("https://www.enginatics.com/reports/inv-item-default-transaction-subinventories","INV Item Default Transaction Subinventories")</f>
        <v>INV Item Default Transaction Subinventories</v>
      </c>
      <c r="D456" t="str" s="2">
        <f>HYPERLINK("https://www.enginatics.com/example/inv-item-default-transaction-subinventories","INV Item Default Transaction Subinventories 24-Jul-2023 194535.xlsx")</f>
        <v>INV Item Default Transaction Subinventories 24-Jul-2023 194535.xlsx</v>
      </c>
      <c r="E456" t="s">
        <v>1108</v>
      </c>
      <c r="F456" t="s">
        <v>1109</v>
      </c>
    </row>
    <row r="457" spans="1:6" x14ac:dyDescent="0.2">
      <c r="A457" t="s">
        <v>219</v>
      </c>
      <c r="B457" t="s">
        <v>100</v>
      </c>
      <c r="C457" t="str" s="2">
        <f>HYPERLINK("https://www.enginatics.com/reports/inv-item-demand-history","INV Item Demand History")</f>
        <v>INV Item Demand History</v>
      </c>
      <c r="D457" t="str" s="2">
        <f>HYPERLINK("https://www.enginatics.com/example/inv-item-demand-history","INV Item Demand History - Default Pivot 03-Jun-2023 213208.xlsx")</f>
        <v>INV Item Demand History - Default Pivot 03-Jun-2023 213208.xlsx</v>
      </c>
      <c r="E457" t="s">
        <v>1110</v>
      </c>
      <c r="F457" t="s">
        <v>1111</v>
      </c>
    </row>
    <row r="458" spans="1:6" x14ac:dyDescent="0.2">
      <c r="A458" t="s">
        <v>219</v>
      </c>
      <c r="B458" t="s">
        <v>100</v>
      </c>
      <c r="C458" t="str" s="2">
        <f>HYPERLINK("https://www.enginatics.com/reports/inv-item-import-performance","INV Item Import Performance")</f>
        <v>INV Item Import Performance</v>
      </c>
      <c r="D458" t="str" s="2">
        <f>HYPERLINK("https://www.enginatics.com/example/inv-item-import-performance","INV Item Import Performance 28-Jul-2020 181611.xlsx")</f>
        <v>INV Item Import Performance 28-Jul-2020 181611.xlsx</v>
      </c>
      <c r="E458" t="s">
        <v>1112</v>
      </c>
      <c r="F458" t="s">
        <v>1113</v>
      </c>
    </row>
    <row r="459" spans="1:6" x14ac:dyDescent="0.2">
      <c r="A459" t="s">
        <v>219</v>
      </c>
      <c r="B459" t="s">
        <v>100</v>
      </c>
      <c r="C459" t="str" s="2">
        <f>HYPERLINK("https://www.enginatics.com/reports/inv-item-relationships","INV Item Relationships")</f>
        <v>INV Item Relationships</v>
      </c>
      <c r="D459" t="str" s="2">
        <f>HYPERLINK("https://www.enginatics.com/example/inv-item-relationships","INV Item Relationships 18-Jan-2018 221121.xlsx")</f>
        <v>INV Item Relationships 18-Jan-2018 221121.xlsx</v>
      </c>
      <c r="E459" t="s">
        <v>1114</v>
      </c>
      <c r="F459" t="s">
        <v>1115</v>
      </c>
    </row>
    <row r="460" spans="1:6" x14ac:dyDescent="0.2">
      <c r="A460" t="s">
        <v>219</v>
      </c>
      <c r="B460" t="s">
        <v>100</v>
      </c>
      <c r="C460" t="str" s="2">
        <f>HYPERLINK("https://www.enginatics.com/reports/inv-item-reservations","INV Item Reservations")</f>
        <v>INV Item Reservations</v>
      </c>
      <c r="D460" t="str" s="2">
        <f>HYPERLINK("https://www.enginatics.com/example/inv-item-reservations","INV Item Reservations 30-Sep-2025 000552.xlsx")</f>
        <v>INV Item Reservations 30-Sep-2025 000552.xlsx</v>
      </c>
      <c r="E460" t="s">
        <v>1116</v>
      </c>
      <c r="F460" t="s">
        <v>1117</v>
      </c>
    </row>
    <row r="461" spans="1:6" x14ac:dyDescent="0.2">
      <c r="A461" t="s">
        <v>219</v>
      </c>
      <c r="B461" t="s">
        <v>100</v>
      </c>
      <c r="C461" t="str" s="2">
        <f>HYPERLINK("https://www.enginatics.com/reports/inv-item-statuses(14)","INV Item Statuses")</f>
        <v>INV Item Statuses</v>
      </c>
      <c r="D461" t="str" s="2">
        <f>HYPERLINK("https://www.enginatics.com/example/inv-item-statuses(14)","INV Item Statuses 07-Apr-2018 130703.xlsx")</f>
        <v>INV Item Statuses 07-Apr-2018 130703.xlsx</v>
      </c>
      <c r="E461" t="s">
        <v>1118</v>
      </c>
      <c r="F461" t="s">
        <v>1119</v>
      </c>
    </row>
    <row r="462" spans="1:6" x14ac:dyDescent="0.2">
      <c r="A462" t="s">
        <v>219</v>
      </c>
      <c r="B462" t="s">
        <v>100</v>
      </c>
      <c r="C462" t="str" s="2">
        <f>HYPERLINK("https://www.enginatics.com/reports/inv-item-supply-demand","INV Item Supply/Demand")</f>
        <v>INV Item Supply/Demand</v>
      </c>
      <c r="D462" t="str" s="2">
        <f>HYPERLINK("https://www.enginatics.com/example/inv-item-supply-demand","INV Item Supply Demand 11-May-2021 190750.xlsx")</f>
        <v>INV Item Supply Demand 11-May-2021 190750.xlsx</v>
      </c>
      <c r="E462" t="s">
        <v>1120</v>
      </c>
      <c r="F462" t="s">
        <v>1121</v>
      </c>
    </row>
    <row r="463" spans="1:6" x14ac:dyDescent="0.2">
      <c r="A463" t="s">
        <v>219</v>
      </c>
      <c r="B463" t="s">
        <v>100</v>
      </c>
      <c r="C463" t="str" s="2">
        <f>HYPERLINK("https://www.enginatics.com/reports/inv-item-templates","INV Item Templates")</f>
        <v>INV Item Templates</v>
      </c>
      <c r="D463" t="str" s="2">
        <f>HYPERLINK("https://www.enginatics.com/example/inv-item-templates","INV Item Templates 11-Dec-2020 001828.xlsx")</f>
        <v>INV Item Templates 11-Dec-2020 001828.xlsx</v>
      </c>
      <c r="E463" t="s">
        <v>1122</v>
      </c>
      <c r="F463" t="s">
        <v>1123</v>
      </c>
    </row>
    <row r="464" spans="1:6" x14ac:dyDescent="0.2">
      <c r="A464" t="s">
        <v>219</v>
      </c>
      <c r="B464" t="s">
        <v>100</v>
      </c>
      <c r="C464" t="str" s="2">
        <f>HYPERLINK("https://www.enginatics.com/reports/inv-items","INV Items")</f>
        <v>INV Items</v>
      </c>
      <c r="D464" t="str" s="2">
        <f>HYPERLINK("https://www.enginatics.com/example/inv-items","INV Items 23-Jul-2025 025320.xlsx")</f>
        <v>INV Items 23-Jul-2025 025320.xlsx</v>
      </c>
      <c r="E464" t="s">
        <v>1124</v>
      </c>
      <c r="F464" t="s">
        <v>1125</v>
      </c>
    </row>
    <row r="465" spans="1:6" x14ac:dyDescent="0.2">
      <c r="A465" t="s">
        <v>219</v>
      </c>
      <c r="B465" t="s">
        <v>100</v>
      </c>
      <c r="C465" t="str" s="2">
        <f>HYPERLINK("https://www.enginatics.com/reports/inv-lot-transaction-register","INV Lot Transaction Register")</f>
        <v>INV Lot Transaction Register</v>
      </c>
      <c r="D465" t="str" s="2">
        <f>HYPERLINK("https://www.enginatics.com/example/inv-lot-transaction-register","INV Lot Transaction Register - Default 03-May-2024 032459.xlsx")</f>
        <v>INV Lot Transaction Register - Default 03-May-2024 032459.xlsx</v>
      </c>
      <c r="E465" t="s">
        <v>1126</v>
      </c>
      <c r="F465" t="s">
        <v>1127</v>
      </c>
    </row>
    <row r="466" spans="1:6" x14ac:dyDescent="0.2">
      <c r="A466" t="s">
        <v>219</v>
      </c>
      <c r="B466" t="s">
        <v>100</v>
      </c>
      <c r="C466" t="str" s="2">
        <f>HYPERLINK("https://www.enginatics.com/reports/inv-material-account-distribution-detail","INV Material Account Distribution Detail")</f>
        <v>INV Material Account Distribution Detail</v>
      </c>
      <c r="D466" t="str" s="2">
        <f>HYPERLINK("https://www.enginatics.com/example/inv-material-account-distribution-detail","INV Material Account Distribution Detail 22-Jul-2024 014230.xlsx")</f>
        <v>INV Material Account Distribution Detail 22-Jul-2024 014230.xlsx</v>
      </c>
      <c r="E466" t="s">
        <v>1128</v>
      </c>
      <c r="F466" t="s">
        <v>1129</v>
      </c>
    </row>
    <row r="467" spans="1:6" x14ac:dyDescent="0.2">
      <c r="A467" t="s">
        <v>219</v>
      </c>
      <c r="B467" t="s">
        <v>100</v>
      </c>
      <c r="C467" t="str" s="2">
        <f>HYPERLINK("https://www.enginatics.com/reports/inv-material-movements","INV Material Movements")</f>
        <v>INV Material Movements</v>
      </c>
      <c r="D467" t="str" s="2">
        <f>HYPERLINK("https://www.enginatics.com/example/inv-material-movements","INV Material Movements 04-Apr-2026 123137.xlsx")</f>
        <v>INV Material Movements 04-Apr-2026 123137.xlsx</v>
      </c>
      <c r="E467" t="s">
        <v>1130</v>
      </c>
      <c r="F467" t="s">
        <v>1131</v>
      </c>
    </row>
    <row r="468" spans="1:6" x14ac:dyDescent="0.2">
      <c r="A468" t="s">
        <v>219</v>
      </c>
      <c r="B468" t="s">
        <v>100</v>
      </c>
      <c r="C468" t="str" s="2">
        <f>HYPERLINK("https://www.enginatics.com/reports/inv-material-status-change-history","INV Material Status Change History")</f>
        <v>INV Material Status Change History</v>
      </c>
      <c r="E468" t="s">
        <v>1132</v>
      </c>
      <c r="F468" t="s">
        <v>1133</v>
      </c>
    </row>
    <row r="469" spans="1:6" x14ac:dyDescent="0.2">
      <c r="A469" t="s">
        <v>219</v>
      </c>
      <c r="B469" t="s">
        <v>100</v>
      </c>
      <c r="C469" t="str" s="2">
        <f>HYPERLINK("https://www.enginatics.com/reports/inv-material-transactions","INV Material Transactions")</f>
        <v>INV Material Transactions</v>
      </c>
      <c r="D469" t="str" s="2">
        <f>HYPERLINK("https://www.enginatics.com/example/inv-material-transactions","INV Material Transactions 24-Jul-2017 143718.xlsx")</f>
        <v>INV Material Transactions 24-Jul-2017 143718.xlsx</v>
      </c>
      <c r="E469" t="s">
        <v>1134</v>
      </c>
      <c r="F469" t="s">
        <v>1135</v>
      </c>
    </row>
    <row r="470" spans="1:6" x14ac:dyDescent="0.2">
      <c r="A470" t="s">
        <v>219</v>
      </c>
      <c r="B470" t="s">
        <v>100</v>
      </c>
      <c r="C470" t="str" s="2">
        <f>HYPERLINK("https://www.enginatics.com/reports/inv-material-transactions-summary","INV Material Transactions Summary")</f>
        <v>INV Material Transactions Summary</v>
      </c>
      <c r="D470" t="str" s="2">
        <f>HYPERLINK("https://www.enginatics.com/example/inv-material-transactions-summary","INV Material Transactions Summary 18-Feb-2025 065902.xlsx")</f>
        <v>INV Material Transactions Summary 18-Feb-2025 065902.xlsx</v>
      </c>
      <c r="E470" t="s">
        <v>1136</v>
      </c>
      <c r="F470" t="s">
        <v>1137</v>
      </c>
    </row>
    <row r="471" spans="1:6" x14ac:dyDescent="0.2">
      <c r="A471" t="s">
        <v>219</v>
      </c>
      <c r="B471" t="s">
        <v>100</v>
      </c>
      <c r="C471" t="str" s="2">
        <f>HYPERLINK("https://www.enginatics.com/reports/inv-movement-statistics","INV Movement Statistics")</f>
        <v>INV Movement Statistics</v>
      </c>
      <c r="E471" t="s">
        <v>1138</v>
      </c>
      <c r="F471" t="s">
        <v>1139</v>
      </c>
    </row>
    <row r="472" spans="1:6" x14ac:dyDescent="0.2">
      <c r="A472" t="s">
        <v>219</v>
      </c>
      <c r="B472" t="s">
        <v>100</v>
      </c>
      <c r="C472" t="str" s="2">
        <f>HYPERLINK("https://www.enginatics.com/reports/inv-onhand-quantities","INV Onhand Quantities")</f>
        <v>INV Onhand Quantities</v>
      </c>
      <c r="D472" t="str" s="2">
        <f>HYPERLINK("https://www.enginatics.com/example/inv-onhand-quantities","INV Onhand Quantities 26-Jul-2018 134821.xlsx")</f>
        <v>INV Onhand Quantities 26-Jul-2018 134821.xlsx</v>
      </c>
      <c r="E472" t="s">
        <v>1140</v>
      </c>
      <c r="F472" t="s">
        <v>1141</v>
      </c>
    </row>
    <row r="473" spans="1:6" x14ac:dyDescent="0.2">
      <c r="A473" t="s">
        <v>219</v>
      </c>
      <c r="B473" t="s">
        <v>100</v>
      </c>
      <c r="C473" t="str" s="2">
        <f>HYPERLINK("https://www.enginatics.com/reports/inv-organization-access","INV Organization Access")</f>
        <v>INV Organization Access</v>
      </c>
      <c r="D473" t="str" s="2">
        <f>HYPERLINK("https://www.enginatics.com/example/inv-organization-access","INV Organization Access 18-Jan-2018 222609.xlsx")</f>
        <v>INV Organization Access 18-Jan-2018 222609.xlsx</v>
      </c>
      <c r="E473" t="s">
        <v>1142</v>
      </c>
      <c r="F473" t="s">
        <v>1143</v>
      </c>
    </row>
    <row r="474" spans="1:6" x14ac:dyDescent="0.2">
      <c r="A474" t="s">
        <v>219</v>
      </c>
      <c r="B474" t="s">
        <v>100</v>
      </c>
      <c r="C474" t="str" s="2">
        <f>HYPERLINK("https://www.enginatics.com/reports/inv-organization-parameters","INV Organization Parameters")</f>
        <v>INV Organization Parameters</v>
      </c>
      <c r="D474" t="str" s="2">
        <f>HYPERLINK("https://www.enginatics.com/example/inv-organization-parameters","INV Organization Parameters 18-Aug-2024 120822.xlsx")</f>
        <v>INV Organization Parameters 18-Aug-2024 120822.xlsx</v>
      </c>
      <c r="F474" t="s">
        <v>1144</v>
      </c>
    </row>
    <row r="475" spans="1:6" x14ac:dyDescent="0.2">
      <c r="A475" t="s">
        <v>219</v>
      </c>
      <c r="B475" t="s">
        <v>100</v>
      </c>
      <c r="C475" t="str" s="2">
        <f>HYPERLINK("https://www.enginatics.com/reports/inv-period-close-pending-transactions","INV Period Close Pending Transactions")</f>
        <v>INV Period Close Pending Transactions</v>
      </c>
      <c r="D475" t="str" s="2">
        <f>HYPERLINK("https://www.enginatics.com/example/inv-period-close-pending-transactions","INV Period Close Pending Transactions 03-Dec-2024 195754.xlsx")</f>
        <v>INV Period Close Pending Transactions 03-Dec-2024 195754.xlsx</v>
      </c>
      <c r="E475" t="s">
        <v>1145</v>
      </c>
      <c r="F475" t="s">
        <v>1146</v>
      </c>
    </row>
    <row r="476" spans="1:6" x14ac:dyDescent="0.2">
      <c r="A476" t="s">
        <v>219</v>
      </c>
      <c r="B476" t="s">
        <v>100</v>
      </c>
      <c r="C476" t="str" s="2">
        <f>HYPERLINK("https://www.enginatics.com/reports/inv-physical-inventory-adjustments","INV Physical Inventory Adjustments")</f>
        <v>INV Physical Inventory Adjustments</v>
      </c>
      <c r="D476" t="str" s="2">
        <f>HYPERLINK("https://www.enginatics.com/example/inv-physical-inventory-adjustments","INV Physical Inventory Adjustments 03-May-2024 081549.xlsx")</f>
        <v>INV Physical Inventory Adjustments 03-May-2024 081549.xlsx</v>
      </c>
      <c r="E476" t="s">
        <v>1147</v>
      </c>
      <c r="F476" t="s">
        <v>1148</v>
      </c>
    </row>
    <row r="477" spans="1:6" x14ac:dyDescent="0.2">
      <c r="A477" t="s">
        <v>219</v>
      </c>
      <c r="B477" t="s">
        <v>100</v>
      </c>
      <c r="C477" t="str" s="2">
        <f>HYPERLINK("https://www.enginatics.com/reports/inv-physical-inventory-tags","INV Physical Inventory Tags")</f>
        <v>INV Physical Inventory Tags</v>
      </c>
      <c r="D477" t="str" s="2">
        <f>HYPERLINK("https://www.enginatics.com/example/inv-physical-inventory-tags","INV Physical Inventory Tags 31-May-2025 003501.xlsx")</f>
        <v>INV Physical Inventory Tags 31-May-2025 003501.xlsx</v>
      </c>
      <c r="E477" t="s">
        <v>1149</v>
      </c>
      <c r="F477" t="s">
        <v>1150</v>
      </c>
    </row>
    <row r="478" spans="1:6" x14ac:dyDescent="0.2">
      <c r="A478" t="s">
        <v>219</v>
      </c>
      <c r="B478" t="s">
        <v>100</v>
      </c>
      <c r="C478" t="str" s="2">
        <f>HYPERLINK("https://www.enginatics.com/reports/inv-physical-inventory-accuracy-analysis","INV Physical inventory accuracy analysis")</f>
        <v>INV Physical inventory accuracy analysis</v>
      </c>
      <c r="D478" t="str" s="2">
        <f>HYPERLINK("https://www.enginatics.com/example/inv-physical-inventory-accuracy-analysis","INV Physical inventory accuracy analysis 31-May-2025 003750.xlsx")</f>
        <v>INV Physical inventory accuracy analysis 31-May-2025 003750.xlsx</v>
      </c>
      <c r="E478" t="s">
        <v>1151</v>
      </c>
      <c r="F478" t="s">
        <v>1152</v>
      </c>
    </row>
    <row r="479" spans="1:6" x14ac:dyDescent="0.2">
      <c r="A479" t="s">
        <v>219</v>
      </c>
      <c r="B479" t="s">
        <v>100</v>
      </c>
      <c r="C479" t="str" s="2">
        <f>HYPERLINK("https://www.enginatics.com/reports/inv-print-cycle-count-entries-open-interface-data","INV Print Cycle Count Entries Open Interface data")</f>
        <v>INV Print Cycle Count Entries Open Interface data</v>
      </c>
      <c r="E479" t="s">
        <v>1153</v>
      </c>
      <c r="F479" t="s">
        <v>1154</v>
      </c>
    </row>
    <row r="480" spans="1:6" x14ac:dyDescent="0.2">
      <c r="A480" t="s">
        <v>219</v>
      </c>
      <c r="B480" t="s">
        <v>100</v>
      </c>
      <c r="C480" t="str" s="2">
        <f>HYPERLINK("https://www.enginatics.com/reports/inv-safety-stocks","INV Safety Stocks")</f>
        <v>INV Safety Stocks</v>
      </c>
      <c r="D480" t="str" s="2">
        <f>HYPERLINK("https://www.enginatics.com/example/inv-safety-stocks","INV Safety Stocks 18-Jan-2018 222727.xlsx")</f>
        <v>INV Safety Stocks 18-Jan-2018 222727.xlsx</v>
      </c>
      <c r="E480" t="s">
        <v>1155</v>
      </c>
      <c r="F480" t="s">
        <v>1156</v>
      </c>
    </row>
    <row r="481" spans="1:6" x14ac:dyDescent="0.2">
      <c r="A481" t="s">
        <v>219</v>
      </c>
      <c r="B481" t="s">
        <v>100</v>
      </c>
      <c r="C481" t="str" s="2">
        <f>HYPERLINK("https://www.enginatics.com/reports/inv-stock-locators","INV Stock Locators")</f>
        <v>INV Stock Locators</v>
      </c>
      <c r="D481" t="str" s="2">
        <f>HYPERLINK("https://www.enginatics.com/example/inv-stock-locators","INV Stock Locators 26-Jul-2018 134603.xlsx")</f>
        <v>INV Stock Locators 26-Jul-2018 134603.xlsx</v>
      </c>
      <c r="E481" t="s">
        <v>1157</v>
      </c>
      <c r="F481" t="s">
        <v>1158</v>
      </c>
    </row>
    <row r="482" spans="1:6" x14ac:dyDescent="0.2">
      <c r="A482" t="s">
        <v>219</v>
      </c>
      <c r="B482" t="s">
        <v>100</v>
      </c>
      <c r="C482" t="str" s="2">
        <f>HYPERLINK("https://www.enginatics.com/reports/inv-subinventories","INV Subinventories")</f>
        <v>INV Subinventories</v>
      </c>
      <c r="D482" t="str" s="2">
        <f>HYPERLINK("https://www.enginatics.com/example/inv-subinventories","INV Subinventories 18-Jan-2018 222405.xlsx")</f>
        <v>INV Subinventories 18-Jan-2018 222405.xlsx</v>
      </c>
      <c r="E482" t="s">
        <v>1159</v>
      </c>
      <c r="F482" t="s">
        <v>1160</v>
      </c>
    </row>
    <row r="483" spans="1:6" x14ac:dyDescent="0.2">
      <c r="A483" t="s">
        <v>219</v>
      </c>
      <c r="B483" t="s">
        <v>100</v>
      </c>
      <c r="C483" t="str" s="2">
        <f>HYPERLINK("https://www.enginatics.com/reports/inv-transaction-historical-summary","INV Transaction Historical Summary")</f>
        <v>INV Transaction Historical Summary</v>
      </c>
      <c r="E483" t="s">
        <v>1161</v>
      </c>
      <c r="F483" t="s">
        <v>1162</v>
      </c>
    </row>
    <row r="484" spans="1:6" x14ac:dyDescent="0.2">
      <c r="A484" t="s">
        <v>219</v>
      </c>
      <c r="B484" t="s">
        <v>100</v>
      </c>
      <c r="C484" t="str" s="2">
        <f>HYPERLINK("https://www.enginatics.com/reports/inv-transaction-register","INV Transaction Register")</f>
        <v>INV Transaction Register</v>
      </c>
      <c r="D484" t="str" s="2">
        <f>HYPERLINK("https://www.enginatics.com/example/inv-transaction-register","INV Transaction Register - Pivot Summaries 09-Aug-2023 054002.xlsx")</f>
        <v>INV Transaction Register - Pivot Summaries 09-Aug-2023 054002.xlsx</v>
      </c>
      <c r="E484" t="s">
        <v>1163</v>
      </c>
      <c r="F484" t="s">
        <v>1164</v>
      </c>
    </row>
    <row r="485" spans="1:6" x14ac:dyDescent="0.2">
      <c r="A485" t="s">
        <v>219</v>
      </c>
      <c r="B485" t="s">
        <v>100</v>
      </c>
      <c r="C485" t="str" s="2">
        <f>HYPERLINK("https://www.enginatics.com/reports/inv-transaction-source-types","INV Transaction Source Types")</f>
        <v>INV Transaction Source Types</v>
      </c>
      <c r="D485" t="str" s="2">
        <f>HYPERLINK("https://www.enginatics.com/example/inv-transaction-source-types","INV Transaction Source Types 20-Jul-2024 235051.xlsx")</f>
        <v>INV Transaction Source Types 20-Jul-2024 235051.xlsx</v>
      </c>
      <c r="F485" t="s">
        <v>1165</v>
      </c>
    </row>
    <row r="486" spans="1:6" x14ac:dyDescent="0.2">
      <c r="A486" t="s">
        <v>219</v>
      </c>
      <c r="B486" t="s">
        <v>100</v>
      </c>
      <c r="C486" t="str" s="2">
        <f>HYPERLINK("https://www.enginatics.com/reports/inv-transaction-types","INV Transaction Types")</f>
        <v>INV Transaction Types</v>
      </c>
      <c r="D486" t="str" s="2">
        <f>HYPERLINK("https://www.enginatics.com/example/inv-transaction-types","INV Transaction Types 21-Jul-2024 010119.xlsx")</f>
        <v>INV Transaction Types 21-Jul-2024 010119.xlsx</v>
      </c>
      <c r="F486" t="s">
        <v>1166</v>
      </c>
    </row>
    <row r="487" spans="1:6" x14ac:dyDescent="0.2">
      <c r="A487" t="s">
        <v>219</v>
      </c>
      <c r="B487" t="s">
        <v>129</v>
      </c>
      <c r="C487" t="str" s="2">
        <f>HYPERLINK("https://www.enginatics.com/reports/ja-india-tds-certificates","JA India - TDS Certificates")</f>
        <v>JA India - TDS Certificates</v>
      </c>
      <c r="E487" t="s">
        <v>1167</v>
      </c>
      <c r="F487" t="s">
        <v>1168</v>
      </c>
    </row>
    <row r="488" spans="1:6" x14ac:dyDescent="0.2">
      <c r="A488" t="s">
        <v>219</v>
      </c>
      <c r="B488" t="s">
        <v>129</v>
      </c>
      <c r="C488" t="str" s="2">
        <f>HYPERLINK("https://www.enginatics.com/reports/ja-india-gstr-1-return","JA India GSTR-1 Return")</f>
        <v>JA India GSTR-1 Return</v>
      </c>
      <c r="E488" t="s">
        <v>1169</v>
      </c>
      <c r="F488" t="s">
        <v>1170</v>
      </c>
    </row>
    <row r="489" spans="1:6" x14ac:dyDescent="0.2">
      <c r="A489" t="s">
        <v>219</v>
      </c>
      <c r="B489" t="s">
        <v>129</v>
      </c>
      <c r="C489" t="str" s="2">
        <f>HYPERLINK("https://www.enginatics.com/reports/ja-india-gstr-2-return","JA India GSTR-2 Return")</f>
        <v>JA India GSTR-2 Return</v>
      </c>
      <c r="E489" t="s">
        <v>1171</v>
      </c>
      <c r="F489" t="s">
        <v>1172</v>
      </c>
    </row>
    <row r="490" spans="1:6" x14ac:dyDescent="0.2">
      <c r="A490" t="s">
        <v>219</v>
      </c>
      <c r="B490" t="s">
        <v>129</v>
      </c>
      <c r="C490" t="str" s="2">
        <f>HYPERLINK("https://www.enginatics.com/reports/ja-india-gstr-3b-return","JA India GSTR-3B Return")</f>
        <v>JA India GSTR-3B Return</v>
      </c>
      <c r="E490" t="s">
        <v>1173</v>
      </c>
      <c r="F490" t="s">
        <v>1174</v>
      </c>
    </row>
    <row r="491" spans="1:6" x14ac:dyDescent="0.2">
      <c r="A491" t="s">
        <v>219</v>
      </c>
      <c r="B491" t="s">
        <v>1175</v>
      </c>
      <c r="C491" t="str" s="2">
        <f>HYPERLINK("https://www.enginatics.com/reports/jtf-grid-datasources","JTF Grid Datasources")</f>
        <v>JTF Grid Datasources</v>
      </c>
      <c r="D491" t="str" s="2">
        <f>HYPERLINK("https://www.enginatics.com/example/jtf-grid-datasources","JTF Grid Datasources 23-May-2018 140447.xlsx")</f>
        <v>JTF Grid Datasources 23-May-2018 140447.xlsx</v>
      </c>
      <c r="E491" t="s">
        <v>1176</v>
      </c>
      <c r="F491" t="s">
        <v>1177</v>
      </c>
    </row>
    <row r="492" spans="1:6" x14ac:dyDescent="0.2">
      <c r="A492" t="s">
        <v>219</v>
      </c>
      <c r="B492" t="s">
        <v>132</v>
      </c>
      <c r="C492" t="str" s="2">
        <f>HYPERLINK("https://www.enginatics.com/reports/mrp-end-assembly-pegging","MRP End Assembly Pegging")</f>
        <v>MRP End Assembly Pegging</v>
      </c>
      <c r="D492" t="str" s="2">
        <f>HYPERLINK("https://www.enginatics.com/example/mrp-end-assembly-pegging","MRP End Assembly Pegging 20-Jan-2019 031236.xlsx")</f>
        <v>MRP End Assembly Pegging 20-Jan-2019 031236.xlsx</v>
      </c>
      <c r="E492" t="s">
        <v>1178</v>
      </c>
      <c r="F492" t="s">
        <v>1179</v>
      </c>
    </row>
    <row r="493" spans="1:6" x14ac:dyDescent="0.2">
      <c r="A493" t="s">
        <v>219</v>
      </c>
      <c r="B493" t="s">
        <v>132</v>
      </c>
      <c r="C493" t="str" s="2">
        <f>HYPERLINK("https://www.enginatics.com/reports/mrp-exceptions","MRP Exceptions")</f>
        <v>MRP Exceptions</v>
      </c>
      <c r="D493" t="str" s="2">
        <f>HYPERLINK("https://www.enginatics.com/example/mrp-exceptions","MRP Exceptions 03-Aug-2018 212438.xlsx")</f>
        <v>MRP Exceptions 03-Aug-2018 212438.xlsx</v>
      </c>
      <c r="E493" t="s">
        <v>1180</v>
      </c>
      <c r="F493" t="s">
        <v>1181</v>
      </c>
    </row>
    <row r="494" spans="1:6" x14ac:dyDescent="0.2">
      <c r="A494" t="s">
        <v>219</v>
      </c>
      <c r="B494" t="s">
        <v>132</v>
      </c>
      <c r="C494" t="str" s="2">
        <f>HYPERLINK("https://www.enginatics.com/reports/mrp-financial-analysis","MRP Financial Analysis")</f>
        <v>MRP Financial Analysis</v>
      </c>
      <c r="D494" t="str" s="2">
        <f>HYPERLINK("https://www.enginatics.com/example/mrp-financial-analysis","MRP Financial Analysis 02-Jun-2023 053717.xlsx")</f>
        <v>MRP Financial Analysis 02-Jun-2023 053717.xlsx</v>
      </c>
      <c r="E494" t="s">
        <v>1182</v>
      </c>
      <c r="F494" t="s">
        <v>1183</v>
      </c>
    </row>
    <row r="495" spans="1:6" x14ac:dyDescent="0.2">
      <c r="A495" t="s">
        <v>219</v>
      </c>
      <c r="B495" t="s">
        <v>132</v>
      </c>
      <c r="C495" t="str" s="2">
        <f>HYPERLINK("https://www.enginatics.com/reports/mrp-horizontal-plan","MRP Horizontal Plan")</f>
        <v>MRP Horizontal Plan</v>
      </c>
      <c r="D495" t="str" s="2">
        <f>HYPERLINK("https://www.enginatics.com/example/mrp-horizontal-plan","MRP Horizontal Plan 26-Jul-2021 041459.xlsx")</f>
        <v>MRP Horizontal Plan 26-Jul-2021 041459.xlsx</v>
      </c>
      <c r="E495" t="s">
        <v>1184</v>
      </c>
      <c r="F495" t="s">
        <v>1185</v>
      </c>
    </row>
    <row r="496" spans="1:6" x14ac:dyDescent="0.2">
      <c r="A496" t="s">
        <v>219</v>
      </c>
      <c r="B496" t="s">
        <v>132</v>
      </c>
      <c r="C496" t="str" s="2">
        <f>HYPERLINK("https://www.enginatics.com/reports/mrp-item-forecast","MRP Item Forecast")</f>
        <v>MRP Item Forecast</v>
      </c>
      <c r="D496" t="str" s="2">
        <f>HYPERLINK("https://www.enginatics.com/example/mrp-item-forecast","MRP Item Forecast 20-Jun-2018 081609.xlsx")</f>
        <v>MRP Item Forecast 20-Jun-2018 081609.xlsx</v>
      </c>
      <c r="E496" t="s">
        <v>1186</v>
      </c>
      <c r="F496" t="s">
        <v>1187</v>
      </c>
    </row>
    <row r="497" spans="1:6" x14ac:dyDescent="0.2">
      <c r="A497" t="s">
        <v>219</v>
      </c>
      <c r="B497" t="s">
        <v>132</v>
      </c>
      <c r="C497" t="str" s="2">
        <f>HYPERLINK("https://www.enginatics.com/reports/mrp-pegging","MRP Pegging")</f>
        <v>MRP Pegging</v>
      </c>
      <c r="D497" t="str" s="2">
        <f>HYPERLINK("https://www.enginatics.com/example/mrp-pegging","MRP Pegging 02-Aug-2018 222325.xlsx")</f>
        <v>MRP Pegging 02-Aug-2018 222325.xlsx</v>
      </c>
      <c r="E497" t="s">
        <v>1188</v>
      </c>
      <c r="F497" t="s">
        <v>1189</v>
      </c>
    </row>
    <row r="498" spans="1:6" x14ac:dyDescent="0.2">
      <c r="A498" t="s">
        <v>219</v>
      </c>
      <c r="B498" t="s">
        <v>132</v>
      </c>
      <c r="C498" t="str" s="2">
        <f>HYPERLINK("https://www.enginatics.com/reports/mrp-plan-orders","MRP Plan Orders")</f>
        <v>MRP Plan Orders</v>
      </c>
      <c r="D498" t="str" s="2">
        <f>HYPERLINK("https://www.enginatics.com/example/mrp-plan-orders","MRP Plan Orders 02-Aug-2025 075019.xlsx")</f>
        <v>MRP Plan Orders 02-Aug-2025 075019.xlsx</v>
      </c>
      <c r="E498" t="s">
        <v>1190</v>
      </c>
      <c r="F498" t="s">
        <v>1191</v>
      </c>
    </row>
    <row r="499" spans="1:6" x14ac:dyDescent="0.2">
      <c r="A499" t="s">
        <v>219</v>
      </c>
      <c r="B499" t="s">
        <v>132</v>
      </c>
      <c r="C499" t="str" s="2">
        <f>HYPERLINK("https://www.enginatics.com/reports/mrp-sourcing-rules-and-bills-of-distribution","MRP Sourcing Rules and Bills of Distribution")</f>
        <v>MRP Sourcing Rules and Bills of Distribution</v>
      </c>
      <c r="D499" t="str" s="2">
        <f>HYPERLINK("https://www.enginatics.com/example/mrp-sourcing-rules-and-bills-of-distribution","MRP Sourcing Rules and Bills of Distribution 10-Jun-2024 034927.xlsx")</f>
        <v>MRP Sourcing Rules and Bills of Distribution 10-Jun-2024 034927.xlsx</v>
      </c>
      <c r="E499" t="s">
        <v>1192</v>
      </c>
      <c r="F499" t="s">
        <v>1193</v>
      </c>
    </row>
    <row r="500" spans="1:6" x14ac:dyDescent="0.2">
      <c r="A500" t="s">
        <v>219</v>
      </c>
      <c r="B500" t="s">
        <v>141</v>
      </c>
      <c r="C500" t="str" s="2">
        <f>HYPERLINK("https://www.enginatics.com/reports/msc-exceptions","MSC Exceptions")</f>
        <v>MSC Exceptions</v>
      </c>
      <c r="D500" t="str" s="2">
        <f>HYPERLINK("https://www.enginatics.com/example/msc-exceptions","MSC Exceptions - Dashboard 17-Jan-2023 234651.xlsm")</f>
        <v>MSC Exceptions - Dashboard 17-Jan-2023 234651.xlsm</v>
      </c>
      <c r="E500" t="s">
        <v>1194</v>
      </c>
      <c r="F500" t="s">
        <v>1195</v>
      </c>
    </row>
    <row r="501" spans="1:6" x14ac:dyDescent="0.2">
      <c r="A501" t="s">
        <v>219</v>
      </c>
      <c r="B501" t="s">
        <v>141</v>
      </c>
      <c r="C501" t="str" s="2">
        <f>HYPERLINK("https://www.enginatics.com/reports/msc-horizontal-plan","MSC Horizontal Plan")</f>
        <v>MSC Horizontal Plan</v>
      </c>
      <c r="D501" t="str" s="2">
        <f>HYPERLINK("https://www.enginatics.com/example/msc-horizontal-plan","MSC Horizontal Plan - Horizontal Plan Dashboard 02-Apr-2026 120400.xlsm")</f>
        <v>MSC Horizontal Plan - Horizontal Plan Dashboard 02-Apr-2026 120400.xlsm</v>
      </c>
      <c r="E501" t="s">
        <v>1196</v>
      </c>
      <c r="F501" t="s">
        <v>1197</v>
      </c>
    </row>
    <row r="502" spans="1:6" x14ac:dyDescent="0.2">
      <c r="A502" t="s">
        <v>219</v>
      </c>
      <c r="B502" t="s">
        <v>141</v>
      </c>
      <c r="C502" t="str" s="2">
        <f>HYPERLINK("https://www.enginatics.com/reports/msc-pegging-hierarchy","MSC Pegging Hierarchy")</f>
        <v>MSC Pegging Hierarchy</v>
      </c>
      <c r="D502" t="str" s="2">
        <f>HYPERLINK("https://www.enginatics.com/example/msc-pegging-hierarchy","MSC Pegging Hierarchy - Pivot Full Hierarchy (Default) 02-Apr-2026 120700.xlsm")</f>
        <v>MSC Pegging Hierarchy - Pivot Full Hierarchy (Default) 02-Apr-2026 120700.xlsm</v>
      </c>
      <c r="E502" t="s">
        <v>1198</v>
      </c>
      <c r="F502" t="s">
        <v>1199</v>
      </c>
    </row>
    <row r="503" spans="1:6" x14ac:dyDescent="0.2">
      <c r="A503" t="s">
        <v>219</v>
      </c>
      <c r="B503" t="s">
        <v>141</v>
      </c>
      <c r="C503" t="str" s="2">
        <f>HYPERLINK("https://www.enginatics.com/reports/msc-plan-orders","MSC Plan Orders")</f>
        <v>MSC Plan Orders</v>
      </c>
      <c r="E503" t="s">
        <v>1200</v>
      </c>
      <c r="F503" t="s">
        <v>1201</v>
      </c>
    </row>
    <row r="504" spans="1:6" x14ac:dyDescent="0.2">
      <c r="A504" t="s">
        <v>219</v>
      </c>
      <c r="B504" t="s">
        <v>141</v>
      </c>
      <c r="C504" t="str" s="2">
        <f>HYPERLINK("https://www.enginatics.com/reports/msc-vertical-plan","MSC Vertical Plan")</f>
        <v>MSC Vertical Plan</v>
      </c>
      <c r="D504" t="str" s="2">
        <f>HYPERLINK("https://www.enginatics.com/example/msc-vertical-plan","MSC Vertical Plan - Vertical Plan Dasboard 28-Aug-2022 070519.xlsm")</f>
        <v>MSC Vertical Plan - Vertical Plan Dasboard 28-Aug-2022 070519.xlsm</v>
      </c>
      <c r="E504" t="s">
        <v>1202</v>
      </c>
      <c r="F504" t="s">
        <v>1203</v>
      </c>
    </row>
    <row r="505" spans="1:6" x14ac:dyDescent="0.2">
      <c r="A505" t="s">
        <v>219</v>
      </c>
      <c r="B505" t="s">
        <v>1204</v>
      </c>
      <c r="C505" t="str" s="2">
        <f>HYPERLINK("https://www.enginatics.com/reports/okc-contract-lines-summary","OKC Contract Lines Summary")</f>
        <v>OKC Contract Lines Summary</v>
      </c>
      <c r="D505" t="str" s="2">
        <f>HYPERLINK("https://www.enginatics.com/example/okc-contract-lines-summary","OKC Contract Lines Summary 11-Oct-2020 145318.xlsx")</f>
        <v>OKC Contract Lines Summary 11-Oct-2020 145318.xlsx</v>
      </c>
      <c r="E505" t="s">
        <v>1205</v>
      </c>
      <c r="F505" t="s">
        <v>1206</v>
      </c>
    </row>
    <row r="506" spans="1:6" x14ac:dyDescent="0.2">
      <c r="A506" t="s">
        <v>219</v>
      </c>
      <c r="B506" t="s">
        <v>1207</v>
      </c>
      <c r="C506" t="str" s="2">
        <f>HYPERLINK("https://www.enginatics.com/reports/okl-termination-quotes","OKL Termination Quotes")</f>
        <v>OKL Termination Quotes</v>
      </c>
      <c r="D506" t="str" s="2">
        <f>HYPERLINK("https://www.enginatics.com/example/okl-termination-quotes","OKL Termination Quotes 18-Jan-2018 214747.xlsx")</f>
        <v>OKL Termination Quotes 18-Jan-2018 214747.xlsx</v>
      </c>
      <c r="E506" t="s">
        <v>1208</v>
      </c>
      <c r="F506" t="s">
        <v>1209</v>
      </c>
    </row>
    <row r="507" spans="1:6" x14ac:dyDescent="0.2">
      <c r="A507" t="s">
        <v>219</v>
      </c>
      <c r="B507" t="s">
        <v>1210</v>
      </c>
      <c r="C507" t="str" s="2">
        <f>HYPERLINK("https://www.enginatics.com/reports/oks-service-contracts-billing-history","OKS Service Contracts Billing History")</f>
        <v>OKS Service Contracts Billing History</v>
      </c>
      <c r="D507" t="str" s="2">
        <f>HYPERLINK("https://www.enginatics.com/example/oks-service-contracts-billing-history","OKS Service Contracts Billing History 14-Oct-2020 080331.xlsx")</f>
        <v>OKS Service Contracts Billing History 14-Oct-2020 080331.xlsx</v>
      </c>
      <c r="E507" t="s">
        <v>1211</v>
      </c>
      <c r="F507" t="s">
        <v>1212</v>
      </c>
    </row>
    <row r="508" spans="1:6" x14ac:dyDescent="0.2">
      <c r="A508" t="s">
        <v>219</v>
      </c>
      <c r="B508" t="s">
        <v>1210</v>
      </c>
      <c r="C508" t="str" s="2">
        <f>HYPERLINK("https://www.enginatics.com/reports/oks-service-contracts-billing-schedule","OKS Service Contracts Billing Schedule")</f>
        <v>OKS Service Contracts Billing Schedule</v>
      </c>
      <c r="D508" t="str" s="2">
        <f>HYPERLINK("https://www.enginatics.com/example/oks-service-contracts-billing-schedule","OKS Service Contracts Billing Schedule 07-Jun-2020 014328.xlsx")</f>
        <v>OKS Service Contracts Billing Schedule 07-Jun-2020 014328.xlsx</v>
      </c>
      <c r="E508" t="s">
        <v>1213</v>
      </c>
      <c r="F508" t="s">
        <v>1214</v>
      </c>
    </row>
    <row r="509" spans="1:6" x14ac:dyDescent="0.2">
      <c r="A509" t="s">
        <v>219</v>
      </c>
      <c r="B509" t="s">
        <v>146</v>
      </c>
      <c r="C509" t="str" s="2">
        <f>HYPERLINK("https://www.enginatics.com/reports/ont-audit-history","ONT Audit History")</f>
        <v>ONT Audit History</v>
      </c>
      <c r="E509" t="s">
        <v>1215</v>
      </c>
      <c r="F509" t="s">
        <v>1216</v>
      </c>
    </row>
    <row r="510" spans="1:6" x14ac:dyDescent="0.2">
      <c r="A510" t="s">
        <v>219</v>
      </c>
      <c r="B510" t="s">
        <v>146</v>
      </c>
      <c r="C510" t="str" s="2">
        <f>HYPERLINK("https://www.enginatics.com/reports/ont-cancelled-orders","ONT Cancelled Orders")</f>
        <v>ONT Cancelled Orders</v>
      </c>
      <c r="D510" t="str" s="2">
        <f>HYPERLINK("https://www.enginatics.com/example/ont-cancelled-orders","ONT Cancelled Orders - Default 01-Mar-2023 043339.xlsx")</f>
        <v>ONT Cancelled Orders - Default 01-Mar-2023 043339.xlsx</v>
      </c>
      <c r="E510" t="s">
        <v>1217</v>
      </c>
      <c r="F510" t="s">
        <v>1218</v>
      </c>
    </row>
    <row r="511" spans="1:6" x14ac:dyDescent="0.2">
      <c r="A511" t="s">
        <v>219</v>
      </c>
      <c r="B511" t="s">
        <v>146</v>
      </c>
      <c r="C511" t="str" s="2">
        <f>HYPERLINK("https://www.enginatics.com/reports/ont-defaulting-rules","ONT Defaulting Rules")</f>
        <v>ONT Defaulting Rules</v>
      </c>
      <c r="D511" t="str" s="2">
        <f>HYPERLINK("https://www.enginatics.com/example/ont-defaulting-rules","ONT Defaulting Rules 04-Jan-2026 193839.xlsx")</f>
        <v>ONT Defaulting Rules 04-Jan-2026 193839.xlsx</v>
      </c>
      <c r="E511" t="s">
        <v>1219</v>
      </c>
      <c r="F511" t="s">
        <v>1220</v>
      </c>
    </row>
    <row r="512" spans="1:6" x14ac:dyDescent="0.2">
      <c r="A512" t="s">
        <v>219</v>
      </c>
      <c r="B512" t="s">
        <v>146</v>
      </c>
      <c r="C512" t="str" s="2">
        <f>HYPERLINK("https://www.enginatics.com/reports/ont-order-holds","ONT Order Holds")</f>
        <v>ONT Order Holds</v>
      </c>
      <c r="D512" t="str" s="2">
        <f>HYPERLINK("https://www.enginatics.com/example/ont-order-holds","ONT Order Holds 18-Jan-2018 225833.xlsx")</f>
        <v>ONT Order Holds 18-Jan-2018 225833.xlsx</v>
      </c>
      <c r="E512" t="s">
        <v>1221</v>
      </c>
      <c r="F512" t="s">
        <v>1222</v>
      </c>
    </row>
    <row r="513" spans="1:6" x14ac:dyDescent="0.2">
      <c r="A513" t="s">
        <v>219</v>
      </c>
      <c r="B513" t="s">
        <v>146</v>
      </c>
      <c r="C513" t="str" s="2">
        <f>HYPERLINK("https://www.enginatics.com/reports/ont-orders","ONT Orders")</f>
        <v>ONT Orders</v>
      </c>
      <c r="D513" t="str" s="2">
        <f>HYPERLINK("https://www.enginatics.com/example/ont-orders","ONT Orders 04-Apr-2026 123137.xlsx")</f>
        <v>ONT Orders 04-Apr-2026 123137.xlsx</v>
      </c>
      <c r="E513" t="s">
        <v>1223</v>
      </c>
      <c r="F513" t="s">
        <v>1224</v>
      </c>
    </row>
    <row r="514" spans="1:6" x14ac:dyDescent="0.2">
      <c r="A514" t="s">
        <v>219</v>
      </c>
      <c r="B514" t="s">
        <v>146</v>
      </c>
      <c r="C514" t="str" s="2">
        <f>HYPERLINK("https://www.enginatics.com/reports/ont-orders-and-lines","ONT Orders and Lines")</f>
        <v>ONT Orders and Lines</v>
      </c>
      <c r="D514" t="str" s="2">
        <f>HYPERLINK("https://www.enginatics.com/example/ont-orders-and-lines","ONT Orders and Lines - DIFOT Template 11-Oct-2022 033132.xlsm")</f>
        <v>ONT Orders and Lines - DIFOT Template 11-Oct-2022 033132.xlsm</v>
      </c>
      <c r="E514" t="s">
        <v>1225</v>
      </c>
      <c r="F514" t="s">
        <v>1226</v>
      </c>
    </row>
    <row r="515" spans="1:6" x14ac:dyDescent="0.2">
      <c r="A515" t="s">
        <v>219</v>
      </c>
      <c r="B515" t="s">
        <v>146</v>
      </c>
      <c r="C515" t="str" s="2">
        <f>HYPERLINK("https://www.enginatics.com/reports/ont-recurring-billing-plan","ONT Recurring Billing Plan")</f>
        <v>ONT Recurring Billing Plan</v>
      </c>
      <c r="D515" t="str" s="2">
        <f>HYPERLINK("https://www.enginatics.com/example/ont-recurring-billing-plan","ONT Recurring Billing Plan 28-Jul-2020 181125.xlsx")</f>
        <v>ONT Recurring Billing Plan 28-Jul-2020 181125.xlsx</v>
      </c>
      <c r="E515" t="s">
        <v>1227</v>
      </c>
      <c r="F515" t="s">
        <v>1228</v>
      </c>
    </row>
    <row r="516" spans="1:6" x14ac:dyDescent="0.2">
      <c r="A516" t="s">
        <v>219</v>
      </c>
      <c r="B516" t="s">
        <v>146</v>
      </c>
      <c r="C516" t="str" s="2">
        <f>HYPERLINK("https://www.enginatics.com/reports/ont-system-parameters","ONT System Parameters")</f>
        <v>ONT System Parameters</v>
      </c>
      <c r="D516" t="str" s="2">
        <f>HYPERLINK("https://www.enginatics.com/example/ont-system-parameters","ONT System Parameters 08-Dec-2024 133111.xlsx")</f>
        <v>ONT System Parameters 08-Dec-2024 133111.xlsx</v>
      </c>
      <c r="F516" t="s">
        <v>1229</v>
      </c>
    </row>
    <row r="517" spans="1:6" x14ac:dyDescent="0.2">
      <c r="A517" t="s">
        <v>219</v>
      </c>
      <c r="B517" t="s">
        <v>146</v>
      </c>
      <c r="C517" t="str" s="2">
        <f>HYPERLINK("https://www.enginatics.com/reports/ont-transaction-types-listing","ONT Transaction Types Listing")</f>
        <v>ONT Transaction Types Listing</v>
      </c>
      <c r="D517" t="str" s="2">
        <f>HYPERLINK("https://www.enginatics.com/example/ont-transaction-types-listing","ONT Transaction Types Listing 11-Jul-2021 230055.xlsx")</f>
        <v>ONT Transaction Types Listing 11-Jul-2021 230055.xlsx</v>
      </c>
      <c r="E517" t="s">
        <v>1230</v>
      </c>
      <c r="F517" t="s">
        <v>1231</v>
      </c>
    </row>
    <row r="518" spans="1:6" x14ac:dyDescent="0.2">
      <c r="A518" t="s">
        <v>219</v>
      </c>
      <c r="B518" t="s">
        <v>146</v>
      </c>
      <c r="C518" t="str" s="2">
        <f>HYPERLINK("https://www.enginatics.com/reports/ont-transaction-types-and-line-wf-processes","ONT Transaction Types and Line WF Processes")</f>
        <v>ONT Transaction Types and Line WF Processes</v>
      </c>
      <c r="D518" t="str" s="2">
        <f>HYPERLINK("https://www.enginatics.com/example/ont-transaction-types-and-line-wf-processes","ONT Transaction Types and Line WF Processes 24-Jul-2017 150548.xlsx")</f>
        <v>ONT Transaction Types and Line WF Processes 24-Jul-2017 150548.xlsx</v>
      </c>
      <c r="E518" t="s">
        <v>1232</v>
      </c>
      <c r="F518" t="s">
        <v>1233</v>
      </c>
    </row>
    <row r="519" spans="1:6" x14ac:dyDescent="0.2">
      <c r="A519" t="s">
        <v>219</v>
      </c>
      <c r="B519" t="s">
        <v>151</v>
      </c>
      <c r="C519" t="str" s="2">
        <f>HYPERLINK("https://www.enginatics.com/reports/opm-batch-details-and-status-summary","OPM Batch Details and Status Summary")</f>
        <v>OPM Batch Details and Status Summary</v>
      </c>
      <c r="D519" t="str" s="2">
        <f>HYPERLINK("https://www.enginatics.com/example/opm-batch-details-and-status-summary","OPM Batch Details and Status Summary 05-Jun-2026 120004.xlsx")</f>
        <v>OPM Batch Details and Status Summary 05-Jun-2026 120004.xlsx</v>
      </c>
      <c r="E519" t="s">
        <v>1234</v>
      </c>
      <c r="F519" t="s">
        <v>1235</v>
      </c>
    </row>
    <row r="520" spans="1:6" x14ac:dyDescent="0.2">
      <c r="A520" t="s">
        <v>219</v>
      </c>
      <c r="B520" t="s">
        <v>151</v>
      </c>
      <c r="C520" t="str" s="2">
        <f>HYPERLINK("https://www.enginatics.com/reports/opm-batch-lot-cost-details","OPM Batch Lot Cost Details")</f>
        <v>OPM Batch Lot Cost Details</v>
      </c>
      <c r="D520" t="str" s="2">
        <f>HYPERLINK("https://www.enginatics.com/example/opm-batch-lot-cost-details","OPM Batch Lot Cost Details - Detail Pivot 01-Aug-2025 091503.xlsx")</f>
        <v>OPM Batch Lot Cost Details - Detail Pivot 01-Aug-2025 091503.xlsx</v>
      </c>
      <c r="E520" t="s">
        <v>1236</v>
      </c>
      <c r="F520" t="s">
        <v>1237</v>
      </c>
    </row>
    <row r="521" spans="1:6" x14ac:dyDescent="0.2">
      <c r="A521" t="s">
        <v>219</v>
      </c>
      <c r="B521" t="s">
        <v>151</v>
      </c>
      <c r="C521" t="str" s="2">
        <f>HYPERLINK("https://www.enginatics.com/reports/opm-batch-lot-cost-trends","OPM Batch Lot Cost Trends")</f>
        <v>OPM Batch Lot Cost Trends</v>
      </c>
      <c r="D521" t="str" s="2">
        <f>HYPERLINK("https://www.enginatics.com/example/opm-batch-lot-cost-trends","OPM Batch Lot Cost Trends - Detail Pivot 01-Aug-2025 091821.xlsx")</f>
        <v>OPM Batch Lot Cost Trends - Detail Pivot 01-Aug-2025 091821.xlsx</v>
      </c>
      <c r="E521" t="s">
        <v>1238</v>
      </c>
      <c r="F521" t="s">
        <v>1239</v>
      </c>
    </row>
    <row r="522" spans="1:6" x14ac:dyDescent="0.2">
      <c r="A522" t="s">
        <v>219</v>
      </c>
      <c r="B522" t="s">
        <v>151</v>
      </c>
      <c r="C522" t="str" s="2">
        <f>HYPERLINK("https://www.enginatics.com/reports/opm-batch-lot-genealogy","OPM Batch Lot Genealogy")</f>
        <v>OPM Batch Lot Genealogy</v>
      </c>
      <c r="D522" t="str" s="2">
        <f>HYPERLINK("https://www.enginatics.com/example/opm-batch-lot-genealogy","OPM Batch Lot Genealogy 05-Jun-2026 120007.xlsx")</f>
        <v>OPM Batch Lot Genealogy 05-Jun-2026 120007.xlsx</v>
      </c>
      <c r="E522" t="s">
        <v>1240</v>
      </c>
      <c r="F522" t="s">
        <v>1241</v>
      </c>
    </row>
    <row r="523" spans="1:6" x14ac:dyDescent="0.2">
      <c r="A523" t="s">
        <v>219</v>
      </c>
      <c r="B523" t="s">
        <v>151</v>
      </c>
      <c r="C523" t="str" s="2">
        <f>HYPERLINK("https://www.enginatics.com/reports/opm-batch-material-usage-and-substitution-variance","OPM Batch Material Usage and Substitution Variance")</f>
        <v>OPM Batch Material Usage and Substitution Variance</v>
      </c>
      <c r="D523" t="str" s="2">
        <f>HYPERLINK("https://www.enginatics.com/example/opm-batch-material-usage-and-substitution-variance","OPM Batch Material Usage and Substitution Variance 05-Jun-2026 120005.xlsx")</f>
        <v>OPM Batch Material Usage and Substitution Variance 05-Jun-2026 120005.xlsx</v>
      </c>
      <c r="E523" t="s">
        <v>1242</v>
      </c>
      <c r="F523" t="s">
        <v>1243</v>
      </c>
    </row>
    <row r="524" spans="1:6" x14ac:dyDescent="0.2">
      <c r="A524" t="s">
        <v>219</v>
      </c>
      <c r="B524" t="s">
        <v>151</v>
      </c>
      <c r="C524" t="str" s="2">
        <f>HYPERLINK("https://www.enginatics.com/reports/opm-batch-steps-and-resource-usage","OPM Batch Steps and Resource Usage")</f>
        <v>OPM Batch Steps and Resource Usage</v>
      </c>
      <c r="D524" t="str" s="2">
        <f>HYPERLINK("https://www.enginatics.com/example/opm-batch-steps-and-resource-usage","OPM Batch Steps and Resource Usage 05-Jun-2026 120006.xlsx")</f>
        <v>OPM Batch Steps and Resource Usage 05-Jun-2026 120006.xlsx</v>
      </c>
      <c r="E524" t="s">
        <v>1244</v>
      </c>
      <c r="F524" t="s">
        <v>1245</v>
      </c>
    </row>
    <row r="525" spans="1:6" x14ac:dyDescent="0.2">
      <c r="A525" t="s">
        <v>219</v>
      </c>
      <c r="B525" t="s">
        <v>151</v>
      </c>
      <c r="C525" t="str" s="2">
        <f>HYPERLINK("https://www.enginatics.com/reports/opm-batch-yield-variance","OPM Batch Yield Variance")</f>
        <v>OPM Batch Yield Variance</v>
      </c>
      <c r="D525" t="str" s="2">
        <f>HYPERLINK("https://www.enginatics.com/example/opm-batch-yield-variance","OPM Batch Yield Variance 05-Jun-2026 120003.xlsx")</f>
        <v>OPM Batch Yield Variance 05-Jun-2026 120003.xlsx</v>
      </c>
      <c r="E525" t="s">
        <v>1246</v>
      </c>
      <c r="F525" t="s">
        <v>1247</v>
      </c>
    </row>
    <row r="526" spans="1:6" x14ac:dyDescent="0.2">
      <c r="A526" t="s">
        <v>219</v>
      </c>
      <c r="B526" t="s">
        <v>151</v>
      </c>
      <c r="C526" t="str" s="2">
        <f>HYPERLINK("https://www.enginatics.com/reports/opm-detailed-subledger","OPM Detailed Subledger")</f>
        <v>OPM Detailed Subledger</v>
      </c>
      <c r="D526" t="str" s="2">
        <f>HYPERLINK("https://www.enginatics.com/example/opm-detailed-subledger","OPM Detailed Subledger 02-Mar-2026 075158.xlsx")</f>
        <v>OPM Detailed Subledger 02-Mar-2026 075158.xlsx</v>
      </c>
      <c r="E526" t="s">
        <v>1248</v>
      </c>
      <c r="F526" t="s">
        <v>1249</v>
      </c>
    </row>
    <row r="527" spans="1:6" x14ac:dyDescent="0.2">
      <c r="A527" t="s">
        <v>219</v>
      </c>
      <c r="B527" t="s">
        <v>151</v>
      </c>
      <c r="C527" t="str" s="2">
        <f>HYPERLINK("https://www.enginatics.com/reports/opm-formula-details","OPM Formula Details")</f>
        <v>OPM Formula Details</v>
      </c>
      <c r="D527" t="str" s="2">
        <f>HYPERLINK("https://www.enginatics.com/example/opm-formula-details","OPM Formula Details 05-Jun-2026 120001.xlsx")</f>
        <v>OPM Formula Details 05-Jun-2026 120001.xlsx</v>
      </c>
      <c r="E527" t="s">
        <v>1250</v>
      </c>
      <c r="F527" t="s">
        <v>1251</v>
      </c>
    </row>
    <row r="528" spans="1:6" x14ac:dyDescent="0.2">
      <c r="A528" t="s">
        <v>219</v>
      </c>
      <c r="B528" t="s">
        <v>151</v>
      </c>
      <c r="C528" t="str" s="2">
        <f>HYPERLINK("https://www.enginatics.com/reports/opm-formula-where-used","OPM Formula Where-Used")</f>
        <v>OPM Formula Where-Used</v>
      </c>
      <c r="D528" t="str" s="2">
        <f>HYPERLINK("https://www.enginatics.com/example/opm-formula-where-used","OPM Formula Where-Used 05-Jun-2026 120002.xlsx")</f>
        <v>OPM Formula Where-Used 05-Jun-2026 120002.xlsx</v>
      </c>
      <c r="E528" t="s">
        <v>1252</v>
      </c>
      <c r="F528" t="s">
        <v>1253</v>
      </c>
    </row>
    <row r="529" spans="1:6" x14ac:dyDescent="0.2">
      <c r="A529" t="s">
        <v>219</v>
      </c>
      <c r="B529" t="s">
        <v>151</v>
      </c>
      <c r="C529" t="str" s="2">
        <f>HYPERLINK("https://www.enginatics.com/reports/opm-item-location-test-results","OPM Item Location Test Results")</f>
        <v>OPM Item Location Test Results</v>
      </c>
      <c r="D529" t="str" s="2">
        <f>HYPERLINK("https://www.enginatics.com/example/opm-item-location-test-results","OPM Item Location Test Results 05-Jun-2026 120008.xlsx")</f>
        <v>OPM Item Location Test Results 05-Jun-2026 120008.xlsx</v>
      </c>
      <c r="E529" t="s">
        <v>1254</v>
      </c>
      <c r="F529" t="s">
        <v>1255</v>
      </c>
    </row>
    <row r="530" spans="1:6" x14ac:dyDescent="0.2">
      <c r="A530" t="s">
        <v>219</v>
      </c>
      <c r="B530" t="s">
        <v>151</v>
      </c>
      <c r="C530" t="str" s="2">
        <f>HYPERLINK("https://www.enginatics.com/reports/opm-item-process-and-recipe-attributes","OPM Item Process and Recipe Attributes")</f>
        <v>OPM Item Process and Recipe Attributes</v>
      </c>
      <c r="D530" t="str" s="2">
        <f>HYPERLINK("https://www.enginatics.com/example/opm-item-process-and-recipe-attributes","OPM Item Process and Recipe Attributes 05-Jun-2026 120010.xlsx")</f>
        <v>OPM Item Process and Recipe Attributes 05-Jun-2026 120010.xlsx</v>
      </c>
      <c r="E530" t="s">
        <v>1256</v>
      </c>
      <c r="F530" t="s">
        <v>1257</v>
      </c>
    </row>
    <row r="531" spans="1:6" x14ac:dyDescent="0.2">
      <c r="A531" t="s">
        <v>219</v>
      </c>
      <c r="B531" t="s">
        <v>151</v>
      </c>
      <c r="C531" t="str" s="2">
        <f>HYPERLINK("https://www.enginatics.com/reports/opm-recipe-details","OPM Recipe Details")</f>
        <v>OPM Recipe Details</v>
      </c>
      <c r="D531" t="str" s="2">
        <f>HYPERLINK("https://www.enginatics.com/example/opm-recipe-details","OPM Recipe Details 05-Jun-2026 120000.xlsx")</f>
        <v>OPM Recipe Details 05-Jun-2026 120000.xlsx</v>
      </c>
      <c r="E531" t="s">
        <v>1258</v>
      </c>
      <c r="F531" t="s">
        <v>1259</v>
      </c>
    </row>
    <row r="532" spans="1:6" x14ac:dyDescent="0.2">
      <c r="A532" t="s">
        <v>219</v>
      </c>
      <c r="B532" t="s">
        <v>151</v>
      </c>
      <c r="C532" t="str" s="2">
        <f>HYPERLINK("https://www.enginatics.com/reports/opm-reconcilation","OPM Reconcilation")</f>
        <v>OPM Reconcilation</v>
      </c>
      <c r="D532" t="str" s="2">
        <f>HYPERLINK("https://www.enginatics.com/example/opm-reconcilation","OPM Reconcilation - Default 14-Jul-2023 034226.xlsx")</f>
        <v>OPM Reconcilation - Default 14-Jul-2023 034226.xlsx</v>
      </c>
      <c r="E532" t="s">
        <v>1260</v>
      </c>
      <c r="F532" t="s">
        <v>1261</v>
      </c>
    </row>
    <row r="533" spans="1:6" x14ac:dyDescent="0.2">
      <c r="A533" t="s">
        <v>219</v>
      </c>
      <c r="B533" t="s">
        <v>151</v>
      </c>
      <c r="C533" t="str" s="2">
        <f>HYPERLINK("https://www.enginatics.com/reports/opm-specifications-and-test-limits","OPM Specifications and Test Limits")</f>
        <v>OPM Specifications and Test Limits</v>
      </c>
      <c r="D533" t="str" s="2">
        <f>HYPERLINK("https://www.enginatics.com/example/opm-specifications-and-test-limits","OPM Specifications and Test Limits 05-Jun-2026 120009.xlsx")</f>
        <v>OPM Specifications and Test Limits 05-Jun-2026 120009.xlsx</v>
      </c>
      <c r="E533" t="s">
        <v>1262</v>
      </c>
      <c r="F533" t="s">
        <v>1263</v>
      </c>
    </row>
    <row r="534" spans="1:6" x14ac:dyDescent="0.2">
      <c r="A534" t="s">
        <v>219</v>
      </c>
      <c r="B534" t="s">
        <v>160</v>
      </c>
      <c r="C534" t="str" s="2">
        <f>HYPERLINK("https://www.enginatics.com/reports/pa-capital-project-summary-with-asset-detail","PA Capital Project Summary with Asset Detail")</f>
        <v>PA Capital Project Summary with Asset Detail</v>
      </c>
      <c r="D534" t="str" s="2">
        <f>HYPERLINK("https://www.enginatics.com/example/pa-capital-project-summary-with-asset-detail","PA Capital Project Summary with Asset Detail 10-Jul-2020 142116.xlsx")</f>
        <v>PA Capital Project Summary with Asset Detail 10-Jul-2020 142116.xlsx</v>
      </c>
      <c r="E534" t="s">
        <v>1264</v>
      </c>
      <c r="F534" t="s">
        <v>1265</v>
      </c>
    </row>
    <row r="535" spans="1:6" x14ac:dyDescent="0.2">
      <c r="A535" t="s">
        <v>219</v>
      </c>
      <c r="B535" t="s">
        <v>160</v>
      </c>
      <c r="C535" t="str" s="2">
        <f>HYPERLINK("https://www.enginatics.com/reports/pa-cost-audit","PA Cost Audit")</f>
        <v>PA Cost Audit</v>
      </c>
      <c r="D535" t="str" s="2">
        <f>HYPERLINK("https://www.enginatics.com/example/pa-cost-audit","PA Cost Audit 23-Mar-2026 121933.xlsx")</f>
        <v>PA Cost Audit 23-Mar-2026 121933.xlsx</v>
      </c>
      <c r="E535" t="s">
        <v>1266</v>
      </c>
      <c r="F535" t="s">
        <v>1267</v>
      </c>
    </row>
    <row r="536" spans="1:6" x14ac:dyDescent="0.2">
      <c r="A536" t="s">
        <v>219</v>
      </c>
      <c r="B536" t="s">
        <v>160</v>
      </c>
      <c r="C536" t="str" s="2">
        <f>HYPERLINK("https://www.enginatics.com/reports/pa-employee-activity-by-organization","PA Employee Activity By Organization")</f>
        <v>PA Employee Activity By Organization</v>
      </c>
      <c r="E536" t="s">
        <v>1268</v>
      </c>
      <c r="F536" t="s">
        <v>1269</v>
      </c>
    </row>
    <row r="537" spans="1:6" x14ac:dyDescent="0.2">
      <c r="A537" t="s">
        <v>219</v>
      </c>
      <c r="B537" t="s">
        <v>160</v>
      </c>
      <c r="C537" t="str" s="2">
        <f>HYPERLINK("https://www.enginatics.com/reports/pa-expenditure-types","PA Expenditure Types")</f>
        <v>PA Expenditure Types</v>
      </c>
      <c r="D537" t="str" s="2">
        <f>HYPERLINK("https://www.enginatics.com/example/pa-expenditure-types","PA Expenditure Types 22-Jan-2018 181945.xlsx")</f>
        <v>PA Expenditure Types 22-Jan-2018 181945.xlsx</v>
      </c>
      <c r="E537" t="s">
        <v>1270</v>
      </c>
      <c r="F537" t="s">
        <v>1271</v>
      </c>
    </row>
    <row r="538" spans="1:6" x14ac:dyDescent="0.2">
      <c r="A538" t="s">
        <v>219</v>
      </c>
      <c r="B538" t="s">
        <v>160</v>
      </c>
      <c r="C538" t="str" s="2">
        <f>HYPERLINK("https://www.enginatics.com/reports/pa-invoice-review","PA Invoice Review")</f>
        <v>PA Invoice Review</v>
      </c>
      <c r="D538" t="str" s="2">
        <f>HYPERLINK("https://www.enginatics.com/example/pa-invoice-review","PA Invoice Review 23-Mar-2026 194132.xlsx")</f>
        <v>PA Invoice Review 23-Mar-2026 194132.xlsx</v>
      </c>
      <c r="E538" t="s">
        <v>1272</v>
      </c>
      <c r="F538" t="s">
        <v>1273</v>
      </c>
    </row>
    <row r="539" spans="1:6" x14ac:dyDescent="0.2">
      <c r="A539" t="s">
        <v>219</v>
      </c>
      <c r="B539" t="s">
        <v>160</v>
      </c>
      <c r="C539" t="str" s="2">
        <f>HYPERLINK("https://www.enginatics.com/reports/pa-missing-timecards","PA Missing Timecards")</f>
        <v>PA Missing Timecards</v>
      </c>
      <c r="E539" t="s">
        <v>1274</v>
      </c>
      <c r="F539" t="s">
        <v>1275</v>
      </c>
    </row>
    <row r="540" spans="1:6" x14ac:dyDescent="0.2">
      <c r="A540" t="s">
        <v>219</v>
      </c>
      <c r="B540" t="s">
        <v>160</v>
      </c>
      <c r="C540" t="str" s="2">
        <f>HYPERLINK("https://www.enginatics.com/reports/pa-project-asset-details","PA Project Asset Details")</f>
        <v>PA Project Asset Details</v>
      </c>
      <c r="D540" t="str" s="2">
        <f>HYPERLINK("https://www.enginatics.com/example/pa-project-asset-details","PA Project Asset Details 07-Apr-2018 145706.xlsx")</f>
        <v>PA Project Asset Details 07-Apr-2018 145706.xlsx</v>
      </c>
      <c r="E540" t="s">
        <v>1276</v>
      </c>
      <c r="F540" t="s">
        <v>1277</v>
      </c>
    </row>
    <row r="541" spans="1:6" x14ac:dyDescent="0.2">
      <c r="A541" t="s">
        <v>219</v>
      </c>
      <c r="B541" t="s">
        <v>160</v>
      </c>
      <c r="C541" t="str" s="2">
        <f>HYPERLINK("https://www.enginatics.com/reports/pa-project-billing-status","PA Project Billing Status")</f>
        <v>PA Project Billing Status</v>
      </c>
      <c r="D541" t="str" s="2">
        <f>HYPERLINK("https://www.enginatics.com/example/pa-project-billing-status","PA Project Billing Status 21-Jan-2018 181033.xlsx")</f>
        <v>PA Project Billing Status 21-Jan-2018 181033.xlsx</v>
      </c>
      <c r="E541" t="s">
        <v>1278</v>
      </c>
      <c r="F541" t="s">
        <v>1279</v>
      </c>
    </row>
    <row r="542" spans="1:6" x14ac:dyDescent="0.2">
      <c r="A542" t="s">
        <v>219</v>
      </c>
      <c r="B542" t="s">
        <v>160</v>
      </c>
      <c r="C542" t="str" s="2">
        <f>HYPERLINK("https://www.enginatics.com/reports/pa-project-budget","PA Project Budget")</f>
        <v>PA Project Budget</v>
      </c>
      <c r="D542" t="str" s="2">
        <f>HYPERLINK("https://www.enginatics.com/example/pa-project-budget","PA Project Budget 04-Apr-2026 023352.xlsx")</f>
        <v>PA Project Budget 04-Apr-2026 023352.xlsx</v>
      </c>
      <c r="E542" t="s">
        <v>1280</v>
      </c>
      <c r="F542" t="s">
        <v>1281</v>
      </c>
    </row>
    <row r="543" spans="1:6" x14ac:dyDescent="0.2">
      <c r="A543" t="s">
        <v>219</v>
      </c>
      <c r="B543" t="s">
        <v>160</v>
      </c>
      <c r="C543" t="str" s="2">
        <f>HYPERLINK("https://www.enginatics.com/reports/pa-project-expenditure-items-with-wip-and-inv-detail","PA Project Expenditure Items with WIP and INV Detail")</f>
        <v>PA Project Expenditure Items with WIP and INV Detail</v>
      </c>
      <c r="D543" t="str" s="2">
        <f>HYPERLINK("https://www.enginatics.com/example/pa-project-expenditure-items-with-wip-and-inv-detail","PA Project Expenditure Items with WIP and INV Detail 23-Mar-2026 081847.xlsx")</f>
        <v>PA Project Expenditure Items with WIP and INV Detail 23-Mar-2026 081847.xlsx</v>
      </c>
      <c r="E543" t="s">
        <v>1282</v>
      </c>
      <c r="F543" t="s">
        <v>1283</v>
      </c>
    </row>
    <row r="544" spans="1:6" x14ac:dyDescent="0.2">
      <c r="A544" t="s">
        <v>219</v>
      </c>
      <c r="B544" t="s">
        <v>160</v>
      </c>
      <c r="C544" t="str" s="2">
        <f>HYPERLINK("https://www.enginatics.com/reports/pa-project-status-summary","PA Project Status Summary")</f>
        <v>PA Project Status Summary</v>
      </c>
      <c r="D544" t="str" s="2">
        <f>HYPERLINK("https://www.enginatics.com/example/pa-project-status-summary","PA Project Status Summary 04-Apr-2026 023352.xlsx")</f>
        <v>PA Project Status Summary 04-Apr-2026 023352.xlsx</v>
      </c>
      <c r="E544" t="s">
        <v>1284</v>
      </c>
      <c r="F544" t="s">
        <v>1285</v>
      </c>
    </row>
    <row r="545" spans="1:6" x14ac:dyDescent="0.2">
      <c r="A545" t="s">
        <v>219</v>
      </c>
      <c r="B545" t="s">
        <v>160</v>
      </c>
      <c r="C545" t="str" s="2">
        <f>HYPERLINK("https://www.enginatics.com/reports/pa-project-subledger-detail-by-expenditure-type(1)","PA Project Subledger Detail by Expenditure Type")</f>
        <v>PA Project Subledger Detail by Expenditure Type</v>
      </c>
      <c r="D545" t="str" s="2">
        <f>HYPERLINK("https://www.enginatics.com/example/pa-project-subledger-detail-by-expenditure-type(1)","PA Project Subledger Detail by Expenditure Type 04-Apr-2026 023352.xlsx")</f>
        <v>PA Project Subledger Detail by Expenditure Type 04-Apr-2026 023352.xlsx</v>
      </c>
      <c r="E545" t="s">
        <v>1286</v>
      </c>
      <c r="F545" t="s">
        <v>1287</v>
      </c>
    </row>
    <row r="546" spans="1:6" x14ac:dyDescent="0.2">
      <c r="A546" t="s">
        <v>219</v>
      </c>
      <c r="B546" t="s">
        <v>160</v>
      </c>
      <c r="C546" t="str" s="2">
        <f>HYPERLINK("https://www.enginatics.com/reports/pa-revenue-cost-budgets-by-resources","PA Revenue, Cost, Budgets by Resources")</f>
        <v>PA Revenue, Cost, Budgets by Resources</v>
      </c>
      <c r="E546" t="s">
        <v>1288</v>
      </c>
      <c r="F546" t="s">
        <v>1289</v>
      </c>
    </row>
    <row r="547" spans="1:6" x14ac:dyDescent="0.2">
      <c r="A547" t="s">
        <v>219</v>
      </c>
      <c r="B547" t="s">
        <v>160</v>
      </c>
      <c r="C547" t="str" s="2">
        <f>HYPERLINK("https://www.enginatics.com/reports/pa-revenue-cost-budgets-by-work-breakdown-structure","PA Revenue, Cost, Budgets by Work Breakdown Structure")</f>
        <v>PA Revenue, Cost, Budgets by Work Breakdown Structure</v>
      </c>
      <c r="E547" t="s">
        <v>1290</v>
      </c>
      <c r="F547" t="s">
        <v>1291</v>
      </c>
    </row>
    <row r="548" spans="1:6" x14ac:dyDescent="0.2">
      <c r="A548" t="s">
        <v>219</v>
      </c>
      <c r="B548" t="s">
        <v>160</v>
      </c>
      <c r="C548" t="str" s="2">
        <f>HYPERLINK("https://www.enginatics.com/reports/pa-supplier-invoice-audit","PA Supplier Invoice Audit")</f>
        <v>PA Supplier Invoice Audit</v>
      </c>
      <c r="D548" t="str" s="2">
        <f>HYPERLINK("https://www.enginatics.com/example/pa-supplier-invoice-audit","PA Supplier Invoice Audit 04-Apr-2026 023352.xlsx")</f>
        <v>PA Supplier Invoice Audit 04-Apr-2026 023352.xlsx</v>
      </c>
      <c r="E548" t="s">
        <v>1292</v>
      </c>
      <c r="F548" t="s">
        <v>1293</v>
      </c>
    </row>
    <row r="549" spans="1:6" x14ac:dyDescent="0.2">
      <c r="A549" t="s">
        <v>219</v>
      </c>
      <c r="B549" t="s">
        <v>160</v>
      </c>
      <c r="C549" t="str" s="2">
        <f>HYPERLINK("https://www.enginatics.com/reports/pa-task-schedule","PA Task Schedule")</f>
        <v>PA Task Schedule</v>
      </c>
      <c r="D549" t="str" s="2">
        <f>HYPERLINK("https://www.enginatics.com/example/pa-task-schedule","PA Task Schedule 04-Apr-2026 023352.xlsx")</f>
        <v>PA Task Schedule 04-Apr-2026 023352.xlsx</v>
      </c>
      <c r="E549" t="s">
        <v>1294</v>
      </c>
      <c r="F549" t="s">
        <v>1295</v>
      </c>
    </row>
    <row r="550" spans="1:6" x14ac:dyDescent="0.2">
      <c r="A550" t="s">
        <v>219</v>
      </c>
      <c r="B550" t="s">
        <v>160</v>
      </c>
      <c r="C550" t="str" s="2">
        <f>HYPERLINK("https://www.enginatics.com/reports/pa-transaction-sources","PA Transaction Sources")</f>
        <v>PA Transaction Sources</v>
      </c>
      <c r="D550" t="str" s="2">
        <f>HYPERLINK("https://www.enginatics.com/example/pa-transaction-sources","PA Transaction Sources 24-May-2025 232720.xlsx")</f>
        <v>PA Transaction Sources 24-May-2025 232720.xlsx</v>
      </c>
      <c r="F550" t="s">
        <v>1296</v>
      </c>
    </row>
    <row r="551" spans="1:6" x14ac:dyDescent="0.2">
      <c r="A551" t="s">
        <v>219</v>
      </c>
      <c r="B551" t="s">
        <v>1297</v>
      </c>
      <c r="C551" t="str" s="2">
        <f>HYPERLINK("https://www.enginatics.com/reports/pay-costing-detail","PAY Costing Detail")</f>
        <v>PAY Costing Detail</v>
      </c>
      <c r="D551" t="str" s="2">
        <f>HYPERLINK("https://www.enginatics.com/example/pay-costing-detail","PAY Costing Detail 16-Oct-2023 001613.xlsx")</f>
        <v>PAY Costing Detail 16-Oct-2023 001613.xlsx</v>
      </c>
      <c r="E551" t="s">
        <v>1298</v>
      </c>
      <c r="F551" t="s">
        <v>1299</v>
      </c>
    </row>
    <row r="552" spans="1:6" x14ac:dyDescent="0.2">
      <c r="A552" t="s">
        <v>219</v>
      </c>
      <c r="B552" t="s">
        <v>1297</v>
      </c>
      <c r="C552" t="str" s="2">
        <f>HYPERLINK("https://www.enginatics.com/reports/pay-employee-payroll-history","PAY Employee Payroll History")</f>
        <v>PAY Employee Payroll History</v>
      </c>
      <c r="E552" t="s">
        <v>1300</v>
      </c>
      <c r="F552" t="s">
        <v>1301</v>
      </c>
    </row>
    <row r="553" spans="1:6" x14ac:dyDescent="0.2">
      <c r="A553" t="s">
        <v>219</v>
      </c>
      <c r="B553" t="s">
        <v>1297</v>
      </c>
      <c r="C553" t="str" s="2">
        <f>HYPERLINK("https://www.enginatics.com/reports/pay-gross-to-net-summary","PAY Gross to Net Summary")</f>
        <v>PAY Gross to Net Summary</v>
      </c>
      <c r="E553" t="s">
        <v>1302</v>
      </c>
      <c r="F553" t="s">
        <v>1303</v>
      </c>
    </row>
    <row r="554" spans="1:6" x14ac:dyDescent="0.2">
      <c r="A554" t="s">
        <v>219</v>
      </c>
      <c r="B554" t="s">
        <v>1297</v>
      </c>
      <c r="C554" t="str" s="2">
        <f>HYPERLINK("https://www.enginatics.com/reports/pay-payroll-element-details","PAY Payroll Element Details")</f>
        <v>PAY Payroll Element Details</v>
      </c>
      <c r="D554" t="str" s="2">
        <f>HYPERLINK("https://www.enginatics.com/example/pay-payroll-element-details","PAY Payroll Element Details 04-Apr-2026 123137.xlsx")</f>
        <v>PAY Payroll Element Details 04-Apr-2026 123137.xlsx</v>
      </c>
      <c r="E554" t="s">
        <v>1304</v>
      </c>
      <c r="F554" t="s">
        <v>1305</v>
      </c>
    </row>
    <row r="555" spans="1:6" x14ac:dyDescent="0.2">
      <c r="A555" t="s">
        <v>219</v>
      </c>
      <c r="B555" t="s">
        <v>173</v>
      </c>
      <c r="C555" t="str" s="2">
        <f>HYPERLINK("https://www.enginatics.com/reports/per-employee-absences","PER Employee Absences")</f>
        <v>PER Employee Absences</v>
      </c>
      <c r="E555" t="s">
        <v>1306</v>
      </c>
      <c r="F555" t="s">
        <v>1307</v>
      </c>
    </row>
    <row r="556" spans="1:6" x14ac:dyDescent="0.2">
      <c r="A556" t="s">
        <v>219</v>
      </c>
      <c r="B556" t="s">
        <v>173</v>
      </c>
      <c r="C556" t="str" s="2">
        <f>HYPERLINK("https://www.enginatics.com/reports/per-employee-assignments","PER Employee Assignments")</f>
        <v>PER Employee Assignments</v>
      </c>
      <c r="D556" t="str" s="2">
        <f>HYPERLINK("https://www.enginatics.com/example/per-employee-assignments","PER Employee Assignments 03-Aug-2020 171732.xlsx")</f>
        <v>PER Employee Assignments 03-Aug-2020 171732.xlsx</v>
      </c>
      <c r="E556" t="s">
        <v>1308</v>
      </c>
      <c r="F556" t="s">
        <v>1309</v>
      </c>
    </row>
    <row r="557" spans="1:6" x14ac:dyDescent="0.2">
      <c r="A557" t="s">
        <v>219</v>
      </c>
      <c r="B557" t="s">
        <v>173</v>
      </c>
      <c r="C557" t="str" s="2">
        <f>HYPERLINK("https://www.enginatics.com/reports/per-employee-contacts-and-dependents","PER Employee Contacts and Dependents")</f>
        <v>PER Employee Contacts and Dependents</v>
      </c>
      <c r="E557" t="s">
        <v>1310</v>
      </c>
      <c r="F557" t="s">
        <v>1311</v>
      </c>
    </row>
    <row r="558" spans="1:6" x14ac:dyDescent="0.2">
      <c r="A558" t="s">
        <v>219</v>
      </c>
      <c r="B558" t="s">
        <v>173</v>
      </c>
      <c r="C558" t="str" s="2">
        <f>HYPERLINK("https://www.enginatics.com/reports/per-employee-grade-changes","PER Employee Grade Changes")</f>
        <v>PER Employee Grade Changes</v>
      </c>
      <c r="D558" t="str" s="2">
        <f>HYPERLINK("https://www.enginatics.com/example/per-employee-grade-changes","PER Employee Grade Changes 04-Apr-2026 123137.xlsx")</f>
        <v>PER Employee Grade Changes 04-Apr-2026 123137.xlsx</v>
      </c>
      <c r="E558" t="s">
        <v>1312</v>
      </c>
      <c r="F558" t="s">
        <v>1313</v>
      </c>
    </row>
    <row r="559" spans="1:6" x14ac:dyDescent="0.2">
      <c r="A559" t="s">
        <v>219</v>
      </c>
      <c r="B559" t="s">
        <v>173</v>
      </c>
      <c r="C559" t="str" s="2">
        <f>HYPERLINK("https://www.enginatics.com/reports/per-employee-length-of-service","PER Employee Length of Service")</f>
        <v>PER Employee Length of Service</v>
      </c>
      <c r="E559" t="s">
        <v>1314</v>
      </c>
      <c r="F559" t="s">
        <v>1315</v>
      </c>
    </row>
    <row r="560" spans="1:6" x14ac:dyDescent="0.2">
      <c r="A560" t="s">
        <v>219</v>
      </c>
      <c r="B560" t="s">
        <v>173</v>
      </c>
      <c r="C560" t="str" s="2">
        <f>HYPERLINK("https://www.enginatics.com/reports/per-employee-salary-change","PER Employee Salary Change")</f>
        <v>PER Employee Salary Change</v>
      </c>
      <c r="E560" t="s">
        <v>1316</v>
      </c>
      <c r="F560" t="s">
        <v>1317</v>
      </c>
    </row>
    <row r="561" spans="1:6" x14ac:dyDescent="0.2">
      <c r="A561" t="s">
        <v>219</v>
      </c>
      <c r="B561" t="s">
        <v>173</v>
      </c>
      <c r="C561" t="str" s="2">
        <f>HYPERLINK("https://www.enginatics.com/reports/per-headcount-by-organization","PER Headcount by Organization")</f>
        <v>PER Headcount by Organization</v>
      </c>
      <c r="E561" t="s">
        <v>1318</v>
      </c>
      <c r="F561" t="s">
        <v>1319</v>
      </c>
    </row>
    <row r="562" spans="1:6" x14ac:dyDescent="0.2">
      <c r="A562" t="s">
        <v>219</v>
      </c>
      <c r="B562" t="s">
        <v>173</v>
      </c>
      <c r="C562" t="str" s="2">
        <f>HYPERLINK("https://www.enginatics.com/reports/per-information-type-security","PER Information Type Security")</f>
        <v>PER Information Type Security</v>
      </c>
      <c r="D562" t="str" s="2">
        <f>HYPERLINK("https://www.enginatics.com/example/per-information-type-security","PER Information Type Security 15-Jul-2022 011850.xlsx")</f>
        <v>PER Information Type Security 15-Jul-2022 011850.xlsx</v>
      </c>
      <c r="F562" t="s">
        <v>1320</v>
      </c>
    </row>
    <row r="563" spans="1:6" x14ac:dyDescent="0.2">
      <c r="A563" t="s">
        <v>219</v>
      </c>
      <c r="B563" t="s">
        <v>173</v>
      </c>
      <c r="C563" t="str" s="2">
        <f>HYPERLINK("https://www.enginatics.com/reports/per-new-hires","PER New Hires")</f>
        <v>PER New Hires</v>
      </c>
      <c r="E563" t="s">
        <v>1321</v>
      </c>
      <c r="F563" t="s">
        <v>1322</v>
      </c>
    </row>
    <row r="564" spans="1:6" x14ac:dyDescent="0.2">
      <c r="A564" t="s">
        <v>219</v>
      </c>
      <c r="B564" t="s">
        <v>173</v>
      </c>
      <c r="C564" t="str" s="2">
        <f>HYPERLINK("https://www.enginatics.com/reports/per-organization-hierarchy","PER Organization Hierarchy")</f>
        <v>PER Organization Hierarchy</v>
      </c>
      <c r="D564" t="str" s="2">
        <f>HYPERLINK("https://www.enginatics.com/example/per-organization-hierarchy","PER Organization Hierarchy 29-Jan-2020 051446.xlsx")</f>
        <v>PER Organization Hierarchy 29-Jan-2020 051446.xlsx</v>
      </c>
      <c r="E564" t="s">
        <v>1323</v>
      </c>
      <c r="F564" t="s">
        <v>1324</v>
      </c>
    </row>
    <row r="565" spans="1:6" x14ac:dyDescent="0.2">
      <c r="A565" t="s">
        <v>219</v>
      </c>
      <c r="B565" t="s">
        <v>173</v>
      </c>
      <c r="C565" t="str" s="2">
        <f>HYPERLINK("https://www.enginatics.com/reports/per-organizations","PER Organizations")</f>
        <v>PER Organizations</v>
      </c>
      <c r="D565" t="str" s="2">
        <f>HYPERLINK("https://www.enginatics.com/example/per-organizations","PER Organizations 03-Jul-2020 135719.xlsx")</f>
        <v>PER Organizations 03-Jul-2020 135719.xlsx</v>
      </c>
      <c r="E565" t="s">
        <v>1325</v>
      </c>
      <c r="F565" t="s">
        <v>1326</v>
      </c>
    </row>
    <row r="566" spans="1:6" x14ac:dyDescent="0.2">
      <c r="A566" t="s">
        <v>219</v>
      </c>
      <c r="B566" t="s">
        <v>173</v>
      </c>
      <c r="C566" t="str" s="2">
        <f>HYPERLINK("https://www.enginatics.com/reports/per-position-hierarchy","PER Position Hierarchy")</f>
        <v>PER Position Hierarchy</v>
      </c>
      <c r="D566" t="str" s="2">
        <f>HYPERLINK("https://www.enginatics.com/example/per-position-hierarchy","PER Position Hierarchy 07-Apr-2018 164044.xlsx")</f>
        <v>PER Position Hierarchy 07-Apr-2018 164044.xlsx</v>
      </c>
      <c r="E566" t="s">
        <v>1327</v>
      </c>
      <c r="F566" t="s">
        <v>1328</v>
      </c>
    </row>
    <row r="567" spans="1:6" x14ac:dyDescent="0.2">
      <c r="A567" t="s">
        <v>219</v>
      </c>
      <c r="B567" t="s">
        <v>173</v>
      </c>
      <c r="C567" t="str" s="2">
        <f>HYPERLINK("https://www.enginatics.com/reports/per-security-profiles","PER Security Profiles")</f>
        <v>PER Security Profiles</v>
      </c>
      <c r="D567" t="str" s="2">
        <f>HYPERLINK("https://www.enginatics.com/example/per-security-profiles","PER Security Profiles 04-Apr-2026 123137.xlsx")</f>
        <v>PER Security Profiles 04-Apr-2026 123137.xlsx</v>
      </c>
      <c r="E567" t="s">
        <v>1329</v>
      </c>
      <c r="F567" t="s">
        <v>1330</v>
      </c>
    </row>
    <row r="568" spans="1:6" x14ac:dyDescent="0.2">
      <c r="A568" t="s">
        <v>219</v>
      </c>
      <c r="B568" t="s">
        <v>173</v>
      </c>
      <c r="C568" t="str" s="2">
        <f>HYPERLINK("https://www.enginatics.com/reports/per-terminations-and-separations","PER Terminations and Separations")</f>
        <v>PER Terminations and Separations</v>
      </c>
      <c r="E568" t="s">
        <v>1331</v>
      </c>
      <c r="F568" t="s">
        <v>1332</v>
      </c>
    </row>
    <row r="569" spans="1:6" x14ac:dyDescent="0.2">
      <c r="A569" t="s">
        <v>219</v>
      </c>
      <c r="B569" t="s">
        <v>182</v>
      </c>
      <c r="C569" t="str" s="2">
        <f>HYPERLINK("https://www.enginatics.com/reports/pn-gl-reconciliation","PN GL Reconciliation")</f>
        <v>PN GL Reconciliation</v>
      </c>
      <c r="E569" t="s">
        <v>1333</v>
      </c>
      <c r="F569" t="s">
        <v>1334</v>
      </c>
    </row>
    <row r="570" spans="1:6" x14ac:dyDescent="0.2">
      <c r="A570" t="s">
        <v>219</v>
      </c>
      <c r="B570" t="s">
        <v>182</v>
      </c>
      <c r="C570" t="str" s="2">
        <f>HYPERLINK("https://www.enginatics.com/reports/pn-generate-lease-analysis","PN Generate Lease Analysis")</f>
        <v>PN Generate Lease Analysis</v>
      </c>
      <c r="E570" t="s">
        <v>1335</v>
      </c>
      <c r="F570" t="s">
        <v>1336</v>
      </c>
    </row>
    <row r="571" spans="1:6" x14ac:dyDescent="0.2">
      <c r="A571" t="s">
        <v>219</v>
      </c>
      <c r="B571" t="s">
        <v>182</v>
      </c>
      <c r="C571" t="str" s="2">
        <f>HYPERLINK("https://www.enginatics.com/reports/pn-generate-lease-details","PN Generate Lease Details")</f>
        <v>PN Generate Lease Details</v>
      </c>
      <c r="E571" t="s">
        <v>1337</v>
      </c>
      <c r="F571" t="s">
        <v>1338</v>
      </c>
    </row>
    <row r="572" spans="1:6" x14ac:dyDescent="0.2">
      <c r="A572" t="s">
        <v>219</v>
      </c>
      <c r="B572" t="s">
        <v>182</v>
      </c>
      <c r="C572" t="str" s="2">
        <f>HYPERLINK("https://www.enginatics.com/reports/pn-generate-portfolio-detail","PN Generate Portfolio Detail")</f>
        <v>PN Generate Portfolio Detail</v>
      </c>
      <c r="E572" t="s">
        <v>1339</v>
      </c>
      <c r="F572" t="s">
        <v>1340</v>
      </c>
    </row>
    <row r="573" spans="1:6" x14ac:dyDescent="0.2">
      <c r="A573" t="s">
        <v>219</v>
      </c>
      <c r="B573" t="s">
        <v>182</v>
      </c>
      <c r="C573" t="str" s="2">
        <f>HYPERLINK("https://www.enginatics.com/reports/pn-generate-portfolio-summary","PN Generate Portfolio Summary")</f>
        <v>PN Generate Portfolio Summary</v>
      </c>
      <c r="E573" t="s">
        <v>1341</v>
      </c>
      <c r="F573" t="s">
        <v>1342</v>
      </c>
    </row>
    <row r="574" spans="1:6" x14ac:dyDescent="0.2">
      <c r="A574" t="s">
        <v>219</v>
      </c>
      <c r="B574" t="s">
        <v>187</v>
      </c>
      <c r="C574" t="str" s="2">
        <f>HYPERLINK("https://www.enginatics.com/reports/po-approval-assignments","PO Approval Assignments")</f>
        <v>PO Approval Assignments</v>
      </c>
      <c r="D574" t="str" s="2">
        <f>HYPERLINK("https://www.enginatics.com/example/po-approval-assignments","PO Approval Assignments 26-Jul-2018 134723.xlsx")</f>
        <v>PO Approval Assignments 26-Jul-2018 134723.xlsx</v>
      </c>
      <c r="E574" t="s">
        <v>1343</v>
      </c>
      <c r="F574" t="s">
        <v>1344</v>
      </c>
    </row>
    <row r="575" spans="1:6" x14ac:dyDescent="0.2">
      <c r="A575" t="s">
        <v>219</v>
      </c>
      <c r="B575" t="s">
        <v>187</v>
      </c>
      <c r="C575" t="str" s="2">
        <f>HYPERLINK("https://www.enginatics.com/reports/po-approval-groups","PO Approval Groups")</f>
        <v>PO Approval Groups</v>
      </c>
      <c r="D575" t="str" s="2">
        <f>HYPERLINK("https://www.enginatics.com/example/po-approval-groups","PO Approval Groups 25-Jul-2017 120349.xlsx")</f>
        <v>PO Approval Groups 25-Jul-2017 120349.xlsx</v>
      </c>
      <c r="E575" t="s">
        <v>1345</v>
      </c>
      <c r="F575" t="s">
        <v>1346</v>
      </c>
    </row>
    <row r="576" spans="1:6" x14ac:dyDescent="0.2">
      <c r="A576" t="s">
        <v>219</v>
      </c>
      <c r="B576" t="s">
        <v>187</v>
      </c>
      <c r="C576" t="str" s="2">
        <f>HYPERLINK("https://www.enginatics.com/reports/po-approved-supplier-list","PO Approved Supplier List")</f>
        <v>PO Approved Supplier List</v>
      </c>
      <c r="D576" t="str" s="2">
        <f>HYPERLINK("https://www.enginatics.com/example/po-approved-supplier-list","PO Approved Supplier List 18-Jan-2018 223638.xlsx")</f>
        <v>PO Approved Supplier List 18-Jan-2018 223638.xlsx</v>
      </c>
      <c r="E576" t="s">
        <v>1347</v>
      </c>
      <c r="F576" t="s">
        <v>1348</v>
      </c>
    </row>
    <row r="577" spans="1:6" x14ac:dyDescent="0.2">
      <c r="A577" t="s">
        <v>219</v>
      </c>
      <c r="B577" t="s">
        <v>187</v>
      </c>
      <c r="C577" t="str" s="2">
        <f>HYPERLINK("https://www.enginatics.com/reports/po-cancelled-purchase-orders","PO Cancelled Purchase Orders")</f>
        <v>PO Cancelled Purchase Orders</v>
      </c>
      <c r="D577" t="str" s="2">
        <f>HYPERLINK("https://www.enginatics.com/example/po-cancelled-purchase-orders","PO Cancelled Purchase Orders 03-Mar-2023 034355.xlsx")</f>
        <v>PO Cancelled Purchase Orders 03-Mar-2023 034355.xlsx</v>
      </c>
      <c r="E577" t="s">
        <v>1349</v>
      </c>
      <c r="F577" t="s">
        <v>1350</v>
      </c>
    </row>
    <row r="578" spans="1:6" x14ac:dyDescent="0.2">
      <c r="A578" t="s">
        <v>219</v>
      </c>
      <c r="B578" t="s">
        <v>187</v>
      </c>
      <c r="C578" t="str" s="2">
        <f>HYPERLINK("https://www.enginatics.com/reports/po-cancelled-requisitions","PO Cancelled Requisitions")</f>
        <v>PO Cancelled Requisitions</v>
      </c>
      <c r="D578" t="str" s="2">
        <f>HYPERLINK("https://www.enginatics.com/example/po-cancelled-requisitions","PO Cancelled Requisitions 03-Mar-2023 001840.xlsx")</f>
        <v>PO Cancelled Requisitions 03-Mar-2023 001840.xlsx</v>
      </c>
      <c r="E578" t="s">
        <v>1351</v>
      </c>
      <c r="F578" t="s">
        <v>1352</v>
      </c>
    </row>
    <row r="579" spans="1:6" x14ac:dyDescent="0.2">
      <c r="A579" t="s">
        <v>219</v>
      </c>
      <c r="B579" t="s">
        <v>187</v>
      </c>
      <c r="C579" t="str" s="2">
        <f>HYPERLINK("https://www.enginatics.com/reports/po-document-types","PO Document Types")</f>
        <v>PO Document Types</v>
      </c>
      <c r="D579" t="str" s="2">
        <f>HYPERLINK("https://www.enginatics.com/example/po-document-types","PO Document Types 24-Jul-2017 150359.xlsx")</f>
        <v>PO Document Types 24-Jul-2017 150359.xlsx</v>
      </c>
      <c r="E579" t="s">
        <v>1353</v>
      </c>
      <c r="F579" t="s">
        <v>1354</v>
      </c>
    </row>
    <row r="580" spans="1:6" x14ac:dyDescent="0.2">
      <c r="A580" t="s">
        <v>219</v>
      </c>
      <c r="B580" t="s">
        <v>187</v>
      </c>
      <c r="C580" t="str" s="2">
        <f>HYPERLINK("https://www.enginatics.com/reports/po-headers","PO Headers")</f>
        <v>PO Headers</v>
      </c>
      <c r="D580" t="str" s="2">
        <f>HYPERLINK("https://www.enginatics.com/example/po-headers","PO Headers 20-Jan-2021 132823.xlsx")</f>
        <v>PO Headers 20-Jan-2021 132823.xlsx</v>
      </c>
      <c r="E580" t="s">
        <v>1355</v>
      </c>
      <c r="F580" t="s">
        <v>1356</v>
      </c>
    </row>
    <row r="581" spans="1:6" x14ac:dyDescent="0.2">
      <c r="A581" t="s">
        <v>219</v>
      </c>
      <c r="B581" t="s">
        <v>187</v>
      </c>
      <c r="C581" t="str" s="2">
        <f>HYPERLINK("https://www.enginatics.com/reports/po-headers-and-lines","PO Headers and Lines")</f>
        <v>PO Headers and Lines</v>
      </c>
      <c r="D581" t="str" s="2">
        <f>HYPERLINK("https://www.enginatics.com/example/po-headers-and-lines","PO Headers and Lines 01-May-2021 005057.xlsx")</f>
        <v>PO Headers and Lines 01-May-2021 005057.xlsx</v>
      </c>
      <c r="E581" t="s">
        <v>1357</v>
      </c>
      <c r="F581" t="s">
        <v>1358</v>
      </c>
    </row>
    <row r="582" spans="1:6" x14ac:dyDescent="0.2">
      <c r="A582" t="s">
        <v>219</v>
      </c>
      <c r="B582" t="s">
        <v>187</v>
      </c>
      <c r="C582" t="str" s="2">
        <f>HYPERLINK("https://www.enginatics.com/reports/po-internal-requisitions-and-sales-orders","PO Internal Requisitions and Sales Orders")</f>
        <v>PO Internal Requisitions and Sales Orders</v>
      </c>
      <c r="D582" t="str" s="2">
        <f>HYPERLINK("https://www.enginatics.com/example/po-internal-requisitions-and-sales-orders","PO Internal Requisitions and Sales Orders 01-Oct-2025 030155.xlsx")</f>
        <v>PO Internal Requisitions and Sales Orders 01-Oct-2025 030155.xlsx</v>
      </c>
      <c r="E582" t="s">
        <v>1359</v>
      </c>
      <c r="F582" t="s">
        <v>1360</v>
      </c>
    </row>
    <row r="583" spans="1:6" x14ac:dyDescent="0.2">
      <c r="A583" t="s">
        <v>219</v>
      </c>
      <c r="B583" t="s">
        <v>187</v>
      </c>
      <c r="C583" t="str" s="2">
        <f>HYPERLINK("https://www.enginatics.com/reports/po-internal-requisitions-deliveries-discrepancy","PO Internal Requisitions/Deliveries Discrepancy")</f>
        <v>PO Internal Requisitions/Deliveries Discrepancy</v>
      </c>
      <c r="D583" t="str" s="2">
        <f>HYPERLINK("https://www.enginatics.com/example/po-internal-requisitions-deliveries-discrepancy","PO Internal Requisitions Deliveries Discrepancy 09-Apr-2018 101808.xlsx")</f>
        <v>PO Internal Requisitions Deliveries Discrepancy 09-Apr-2018 101808.xlsx</v>
      </c>
      <c r="E583" t="s">
        <v>1361</v>
      </c>
      <c r="F583" t="s">
        <v>1362</v>
      </c>
    </row>
    <row r="584" spans="1:6" x14ac:dyDescent="0.2">
      <c r="A584" t="s">
        <v>219</v>
      </c>
      <c r="B584" t="s">
        <v>187</v>
      </c>
      <c r="C584" t="str" s="2">
        <f>HYPERLINK("https://www.enginatics.com/reports/po-invoice-price-variance","PO Invoice Price Variance")</f>
        <v>PO Invoice Price Variance</v>
      </c>
      <c r="D584" t="str" s="2">
        <f>HYPERLINK("https://www.enginatics.com/example/po-invoice-price-variance","PO Invoice Price Variance 01-Jul-2024 103450.xlsx")</f>
        <v>PO Invoice Price Variance 01-Jul-2024 103450.xlsx</v>
      </c>
      <c r="E584" t="s">
        <v>1363</v>
      </c>
      <c r="F584" t="s">
        <v>1364</v>
      </c>
    </row>
    <row r="585" spans="1:6" x14ac:dyDescent="0.2">
      <c r="A585" t="s">
        <v>219</v>
      </c>
      <c r="B585" t="s">
        <v>187</v>
      </c>
      <c r="C585" t="str" s="2">
        <f>HYPERLINK("https://www.enginatics.com/reports/po-printed-planning-schedule","PO Printed Planning Schedule")</f>
        <v>PO Printed Planning Schedule</v>
      </c>
      <c r="D585" t="str" s="2">
        <f>HYPERLINK("https://www.enginatics.com/example/po-printed-planning-schedule","PO Printed Planning Schedule 01-Jun-2026 020822.xlsx")</f>
        <v>PO Printed Planning Schedule 01-Jun-2026 020822.xlsx</v>
      </c>
      <c r="E585" t="s">
        <v>1365</v>
      </c>
      <c r="F585" t="s">
        <v>1366</v>
      </c>
    </row>
    <row r="586" spans="1:6" x14ac:dyDescent="0.2">
      <c r="A586" t="s">
        <v>219</v>
      </c>
      <c r="B586" t="s">
        <v>187</v>
      </c>
      <c r="C586" t="str" s="2">
        <f>HYPERLINK("https://www.enginatics.com/reports/po-purchase-price-variance","PO Purchase Price Variance")</f>
        <v>PO Purchase Price Variance</v>
      </c>
      <c r="D586" t="str" s="2">
        <f>HYPERLINK("https://www.enginatics.com/example/po-purchase-price-variance","PO Purchase Price Variance 23-Aug-2024 063011.xlsx")</f>
        <v>PO Purchase Price Variance 23-Aug-2024 063011.xlsx</v>
      </c>
      <c r="E586" t="s">
        <v>1367</v>
      </c>
      <c r="F586" t="s">
        <v>1368</v>
      </c>
    </row>
    <row r="587" spans="1:6" x14ac:dyDescent="0.2">
      <c r="A587" t="s">
        <v>219</v>
      </c>
      <c r="B587" t="s">
        <v>187</v>
      </c>
      <c r="C587" t="str" s="2">
        <f>HYPERLINK("https://www.enginatics.com/reports/po-purchase-requisitions-with-po-details","PO Purchase Requisitions with PO Details")</f>
        <v>PO Purchase Requisitions with PO Details</v>
      </c>
      <c r="D587" t="str" s="2">
        <f>HYPERLINK("https://www.enginatics.com/example/po-purchase-requisitions-with-po-details","PO Purchase Requisitions with PO Details 23-Aug-2021 014326.xlsx")</f>
        <v>PO Purchase Requisitions with PO Details 23-Aug-2021 014326.xlsx</v>
      </c>
      <c r="E587" t="s">
        <v>1369</v>
      </c>
      <c r="F587" t="s">
        <v>1370</v>
      </c>
    </row>
    <row r="588" spans="1:6" x14ac:dyDescent="0.2">
      <c r="A588" t="s">
        <v>219</v>
      </c>
      <c r="B588" t="s">
        <v>187</v>
      </c>
      <c r="C588" t="str" s="2">
        <f>HYPERLINK("https://www.enginatics.com/reports/po-receipts-deliveries-discrepancy","PO Receipts/Deliveries Discrepancy")</f>
        <v>PO Receipts/Deliveries Discrepancy</v>
      </c>
      <c r="E588" t="s">
        <v>1371</v>
      </c>
      <c r="F588" t="s">
        <v>1372</v>
      </c>
    </row>
    <row r="589" spans="1:6" x14ac:dyDescent="0.2">
      <c r="A589" t="s">
        <v>219</v>
      </c>
      <c r="B589" t="s">
        <v>187</v>
      </c>
      <c r="C589" t="str" s="2">
        <f>HYPERLINK("https://www.enginatics.com/reports/po-supplier-scheduling-on-time-delivery","PO Supplier Scheduling On-Time Delivery")</f>
        <v>PO Supplier Scheduling On-Time Delivery</v>
      </c>
      <c r="D589" t="str" s="2">
        <f>HYPERLINK("https://www.enginatics.com/example/po-supplier-scheduling-on-time-delivery","PO Supplier Scheduling On-Time Delivery 01-Jun-2026 020909.xlsx")</f>
        <v>PO Supplier Scheduling On-Time Delivery 01-Jun-2026 020909.xlsx</v>
      </c>
      <c r="E589" t="s">
        <v>1373</v>
      </c>
      <c r="F589" t="s">
        <v>1374</v>
      </c>
    </row>
    <row r="590" spans="1:6" x14ac:dyDescent="0.2">
      <c r="A590" t="s">
        <v>219</v>
      </c>
      <c r="B590" t="s">
        <v>187</v>
      </c>
      <c r="C590" t="str" s="2">
        <f>HYPERLINK("https://www.enginatics.com/reports/po-vendor-service-performance-analysis","PO Vendor Service Performance Analysis")</f>
        <v>PO Vendor Service Performance Analysis</v>
      </c>
      <c r="D590" t="str" s="2">
        <f>HYPERLINK("https://www.enginatics.com/example/po-vendor-service-performance-analysis","PO Vendor Service Performance Analysis 04-Apr-2026 123137.xlsx")</f>
        <v>PO Vendor Service Performance Analysis 04-Apr-2026 123137.xlsx</v>
      </c>
      <c r="E590" t="s">
        <v>1375</v>
      </c>
      <c r="F590" t="s">
        <v>1376</v>
      </c>
    </row>
    <row r="591" spans="1:6" x14ac:dyDescent="0.2">
      <c r="A591" t="s">
        <v>219</v>
      </c>
      <c r="C591" t="str" s="2">
        <f>HYPERLINK("https://www.enginatics.com/reports/ppf_wp3_om_details","PPF_WP3_OM_DETAILS")</f>
        <v>PPF_WP3_OM_DETAILS</v>
      </c>
      <c r="E591" t="s">
        <v>1225</v>
      </c>
      <c r="F591" t="s">
        <v>1377</v>
      </c>
    </row>
    <row r="592" spans="1:6" x14ac:dyDescent="0.2">
      <c r="A592" t="s">
        <v>219</v>
      </c>
      <c r="B592" t="s">
        <v>1378</v>
      </c>
      <c r="C592" t="str" s="2">
        <f>HYPERLINK("https://www.enginatics.com/reports/psa-budgetary-control-transactions","PSA Budgetary Control Transactions")</f>
        <v>PSA Budgetary Control Transactions</v>
      </c>
      <c r="E592" t="s">
        <v>1379</v>
      </c>
      <c r="F592" t="s">
        <v>1380</v>
      </c>
    </row>
    <row r="593" spans="1:6" x14ac:dyDescent="0.2">
      <c r="A593" t="s">
        <v>219</v>
      </c>
      <c r="B593" t="s">
        <v>207</v>
      </c>
      <c r="C593" t="str" s="2">
        <f>HYPERLINK("https://www.enginatics.com/reports/qp-customer-pricing-engine-request","QP Customer Pricing Engine Request")</f>
        <v>QP Customer Pricing Engine Request</v>
      </c>
      <c r="D593" t="str" s="2">
        <f>HYPERLINK("https://www.enginatics.com/example/qp-customer-pricing-engine-request","QP Customer Pricing Engine Request 12-Jul-2021 095134.xlsx")</f>
        <v>QP Customer Pricing Engine Request 12-Jul-2021 095134.xlsx</v>
      </c>
      <c r="E593" t="s">
        <v>1381</v>
      </c>
      <c r="F593" t="s">
        <v>1382</v>
      </c>
    </row>
    <row r="594" spans="1:6" x14ac:dyDescent="0.2">
      <c r="A594" t="s">
        <v>219</v>
      </c>
      <c r="B594" t="s">
        <v>207</v>
      </c>
      <c r="C594" t="str" s="2">
        <f>HYPERLINK("https://www.enginatics.com/reports/qp-modifier-details","QP Modifier Details")</f>
        <v>QP Modifier Details</v>
      </c>
      <c r="D594" t="str" s="2">
        <f>HYPERLINK("https://www.enginatics.com/example/qp-modifier-details","QP Modifier Details - Default 24-Feb-2024 004246.xlsx")</f>
        <v>QP Modifier Details - Default 24-Feb-2024 004246.xlsx</v>
      </c>
      <c r="E594" t="s">
        <v>1383</v>
      </c>
      <c r="F594" t="s">
        <v>1384</v>
      </c>
    </row>
    <row r="595" spans="1:6" x14ac:dyDescent="0.2">
      <c r="A595" t="s">
        <v>219</v>
      </c>
      <c r="B595" t="s">
        <v>207</v>
      </c>
      <c r="C595" t="str" s="2">
        <f>HYPERLINK("https://www.enginatics.com/reports/qp-price-lists","QP Price Lists")</f>
        <v>QP Price Lists</v>
      </c>
      <c r="D595" t="str" s="2">
        <f>HYPERLINK("https://www.enginatics.com/example/qp-price-lists","QP Price Lists 26-Jul-2018 134124.xlsx")</f>
        <v>QP Price Lists 26-Jul-2018 134124.xlsx</v>
      </c>
      <c r="E595" t="s">
        <v>1385</v>
      </c>
      <c r="F595" t="s">
        <v>1386</v>
      </c>
    </row>
    <row r="596" spans="1:6" x14ac:dyDescent="0.2">
      <c r="A596" t="s">
        <v>219</v>
      </c>
      <c r="B596" t="s">
        <v>207</v>
      </c>
      <c r="C596" t="str" s="2">
        <f>HYPERLINK("https://www.enginatics.com/reports/qp-pricing-agreements","QP Pricing Agreements")</f>
        <v>QP Pricing Agreements</v>
      </c>
      <c r="D596" t="str" s="2">
        <f>HYPERLINK("https://www.enginatics.com/example/qp-pricing-agreements","QP Pricing Agreements 01-Sep-2024 225031.xlsx")</f>
        <v>QP Pricing Agreements 01-Sep-2024 225031.xlsx</v>
      </c>
      <c r="E596" t="s">
        <v>1387</v>
      </c>
      <c r="F596" t="s">
        <v>1388</v>
      </c>
    </row>
    <row r="597" spans="1:6" x14ac:dyDescent="0.2">
      <c r="A597" t="s">
        <v>219</v>
      </c>
      <c r="B597" t="s">
        <v>207</v>
      </c>
      <c r="C597" t="str" s="2">
        <f>HYPERLINK("https://www.enginatics.com/reports/qp-pricing-attribute-definitions","QP Pricing Attribute Definitions")</f>
        <v>QP Pricing Attribute Definitions</v>
      </c>
      <c r="D597" t="str" s="2">
        <f>HYPERLINK("https://www.enginatics.com/example/qp-pricing-attribute-definitions","QP Pricing Attribute Definitions 04-Apr-2026 123137.xlsx")</f>
        <v>QP Pricing Attribute Definitions 04-Apr-2026 123137.xlsx</v>
      </c>
      <c r="E597" t="s">
        <v>1389</v>
      </c>
      <c r="F597" t="s">
        <v>1390</v>
      </c>
    </row>
    <row r="598" spans="1:6" x14ac:dyDescent="0.2">
      <c r="A598" t="s">
        <v>219</v>
      </c>
      <c r="B598" t="s">
        <v>1391</v>
      </c>
      <c r="C598" t="str" s="2">
        <f>HYPERLINK("https://www.enginatics.com/reports/wf-activity-status-summary","WF Activity Status Summary")</f>
        <v>WF Activity Status Summary</v>
      </c>
      <c r="D598" t="str" s="2">
        <f>HYPERLINK("https://www.enginatics.com/example/wf-activity-status-summary","WF Activity Status Summary 18-Jan-2018 221505.xlsx")</f>
        <v>WF Activity Status Summary 18-Jan-2018 221505.xlsx</v>
      </c>
      <c r="E598" t="s">
        <v>1392</v>
      </c>
      <c r="F598" t="s">
        <v>1393</v>
      </c>
    </row>
    <row r="599" spans="1:6" x14ac:dyDescent="0.2">
      <c r="A599" t="s">
        <v>219</v>
      </c>
      <c r="B599" t="s">
        <v>1391</v>
      </c>
      <c r="C599" t="str" s="2">
        <f>HYPERLINK("https://www.enginatics.com/reports/wf-business-events-and-subscriptions","WF Business Events and Subscriptions")</f>
        <v>WF Business Events and Subscriptions</v>
      </c>
      <c r="D599" t="str" s="2">
        <f>HYPERLINK("https://www.enginatics.com/example/wf-business-events-and-subscriptions","WF Business Events and Subscriptions 18-Jan-2018 224755.xlsx")</f>
        <v>WF Business Events and Subscriptions 18-Jan-2018 224755.xlsx</v>
      </c>
      <c r="E599" t="s">
        <v>1394</v>
      </c>
      <c r="F599" t="s">
        <v>1395</v>
      </c>
    </row>
    <row r="600" spans="1:6" x14ac:dyDescent="0.2">
      <c r="A600" t="s">
        <v>219</v>
      </c>
      <c r="B600" t="s">
        <v>1391</v>
      </c>
      <c r="C600" t="str" s="2">
        <f>HYPERLINK("https://www.enginatics.com/reports/wf-notifications","WF Notifications")</f>
        <v>WF Notifications</v>
      </c>
      <c r="F600" t="s">
        <v>1396</v>
      </c>
    </row>
    <row r="601" spans="1:6" x14ac:dyDescent="0.2">
      <c r="A601" t="s">
        <v>219</v>
      </c>
      <c r="B601" t="s">
        <v>216</v>
      </c>
      <c r="C601" t="str" s="2">
        <f>HYPERLINK("https://www.enginatics.com/reports/wip-account-distribution","WIP Account Distribution")</f>
        <v>WIP Account Distribution</v>
      </c>
      <c r="D601" t="str" s="2">
        <f>HYPERLINK("https://www.enginatics.com/example/wip-account-distribution","WIP Account Distribution 23-Mar-2026 084443.xlsx")</f>
        <v>WIP Account Distribution 23-Mar-2026 084443.xlsx</v>
      </c>
      <c r="E601" t="s">
        <v>1397</v>
      </c>
      <c r="F601" t="s">
        <v>1398</v>
      </c>
    </row>
    <row r="602" spans="1:6" x14ac:dyDescent="0.2">
      <c r="A602" t="s">
        <v>219</v>
      </c>
      <c r="B602" t="s">
        <v>216</v>
      </c>
      <c r="C602" t="str" s="2">
        <f>HYPERLINK("https://www.enginatics.com/reports/wip-discrete-job-shortage","WIP Discrete Job Shortage")</f>
        <v>WIP Discrete Job Shortage</v>
      </c>
      <c r="D602" t="str" s="2">
        <f>HYPERLINK("https://www.enginatics.com/example/wip-discrete-job-shortage","WIP Discrete Job Shortage 02-Aug-2021 054401.xlsx")</f>
        <v>WIP Discrete Job Shortage 02-Aug-2021 054401.xlsx</v>
      </c>
      <c r="E602" t="s">
        <v>1399</v>
      </c>
      <c r="F602" t="s">
        <v>1400</v>
      </c>
    </row>
    <row r="603" spans="1:6" x14ac:dyDescent="0.2">
      <c r="A603" t="s">
        <v>219</v>
      </c>
      <c r="B603" t="s">
        <v>216</v>
      </c>
      <c r="C603" t="str" s="2">
        <f>HYPERLINK("https://www.enginatics.com/reports/wip-entities","WIP Entities")</f>
        <v>WIP Entities</v>
      </c>
      <c r="D603" t="str" s="2">
        <f>HYPERLINK("https://www.enginatics.com/example/wip-entities","WIP Entities 02-Aug-2018 214556.xlsx")</f>
        <v>WIP Entities 02-Aug-2018 214556.xlsx</v>
      </c>
      <c r="E603" t="s">
        <v>1401</v>
      </c>
      <c r="F603" t="s">
        <v>1402</v>
      </c>
    </row>
    <row r="604" spans="1:6" x14ac:dyDescent="0.2">
      <c r="A604" t="s">
        <v>219</v>
      </c>
      <c r="B604" t="s">
        <v>216</v>
      </c>
      <c r="C604" t="str" s="2">
        <f>HYPERLINK("https://www.enginatics.com/reports/wip-entities-summary","WIP Entities Summary")</f>
        <v>WIP Entities Summary</v>
      </c>
      <c r="D604" t="str" s="2">
        <f>HYPERLINK("https://www.enginatics.com/example/wip-entities-summary","WIP Entities Summary 03-Apr-2018 111159.xlsx")</f>
        <v>WIP Entities Summary 03-Apr-2018 111159.xlsx</v>
      </c>
      <c r="E604" t="s">
        <v>1403</v>
      </c>
      <c r="F604" t="s">
        <v>1404</v>
      </c>
    </row>
    <row r="605" spans="1:6" x14ac:dyDescent="0.2">
      <c r="A605" t="s">
        <v>219</v>
      </c>
      <c r="B605" t="s">
        <v>216</v>
      </c>
      <c r="C605" t="str" s="2">
        <f>HYPERLINK("https://www.enginatics.com/reports/wip-outside-processing","WIP Outside Processing")</f>
        <v>WIP Outside Processing</v>
      </c>
      <c r="D605" t="str" s="2">
        <f>HYPERLINK("https://www.enginatics.com/example/wip-outside-processing","WIP Outside Processing 09-May-2025 220559.xlsx")</f>
        <v>WIP Outside Processing 09-May-2025 220559.xlsx</v>
      </c>
      <c r="E605" t="s">
        <v>1405</v>
      </c>
      <c r="F605" t="s">
        <v>1406</v>
      </c>
    </row>
    <row r="606" spans="1:6" x14ac:dyDescent="0.2">
      <c r="A606" t="s">
        <v>219</v>
      </c>
      <c r="B606" t="s">
        <v>216</v>
      </c>
      <c r="C606" t="str" s="2">
        <f>HYPERLINK("https://www.enginatics.com/reports/wip-required-components","WIP Required Components")</f>
        <v>WIP Required Components</v>
      </c>
      <c r="D606" t="str" s="2">
        <f>HYPERLINK("https://www.enginatics.com/example/wip-required-components","WIP Required Components 17-Nov-2020 002450.xlsx")</f>
        <v>WIP Required Components 17-Nov-2020 002450.xlsx</v>
      </c>
      <c r="E606" t="s">
        <v>1407</v>
      </c>
      <c r="F606" t="s">
        <v>1408</v>
      </c>
    </row>
    <row r="607" spans="1:6" x14ac:dyDescent="0.2">
      <c r="A607" t="s">
        <v>219</v>
      </c>
      <c r="B607" t="s">
        <v>216</v>
      </c>
      <c r="C607" t="str" s="2">
        <f>HYPERLINK("https://www.enginatics.com/reports/wip-value","WIP Value")</f>
        <v>WIP Value</v>
      </c>
      <c r="E607" t="s">
        <v>1409</v>
      </c>
      <c r="F607" t="s">
        <v>1410</v>
      </c>
    </row>
    <row r="608" spans="1:6" x14ac:dyDescent="0.2">
      <c r="A608" t="s">
        <v>219</v>
      </c>
      <c r="B608" t="s">
        <v>216</v>
      </c>
      <c r="C608" t="str" s="2">
        <f>HYPERLINK("https://www.enginatics.com/reports/wip-value-summary","WIP Value Summary")</f>
        <v>WIP Value Summary</v>
      </c>
      <c r="E608" t="s">
        <v>1411</v>
      </c>
      <c r="F608" t="s">
        <v>1412</v>
      </c>
    </row>
    <row r="609" spans="1:6" x14ac:dyDescent="0.2">
      <c r="A609" t="s">
        <v>219</v>
      </c>
      <c r="B609" t="s">
        <v>1413</v>
      </c>
      <c r="C609" t="str" s="2">
        <f>HYPERLINK("https://www.enginatics.com/reports/wms-control-board-tasks","WMS Control Board Tasks")</f>
        <v>WMS Control Board Tasks</v>
      </c>
      <c r="D609" t="str" s="2">
        <f>HYPERLINK("https://www.enginatics.com/example/wms-control-board-tasks","WMS Control Board Tasks 20-May-2025 084721.xlsx")</f>
        <v>WMS Control Board Tasks 20-May-2025 084721.xlsx</v>
      </c>
      <c r="E609" t="s">
        <v>1414</v>
      </c>
      <c r="F609" t="s">
        <v>1415</v>
      </c>
    </row>
    <row r="610" spans="1:6" x14ac:dyDescent="0.2">
      <c r="A610" t="s">
        <v>219</v>
      </c>
      <c r="B610" t="s">
        <v>1416</v>
      </c>
      <c r="C610" t="str" s="2">
        <f>HYPERLINK("https://www.enginatics.com/reports/wsh-commercial-invoice","WSH Commercial Invoice")</f>
        <v>WSH Commercial Invoice</v>
      </c>
      <c r="D610" t="str" s="2">
        <f>HYPERLINK("https://www.enginatics.com/example/wsh-commercial-invoice","WSH Commercial Invoice 28-Mar-2026 011331.xlsx")</f>
        <v>WSH Commercial Invoice 28-Mar-2026 011331.xlsx</v>
      </c>
      <c r="E610" t="s">
        <v>1417</v>
      </c>
      <c r="F610" t="s">
        <v>1418</v>
      </c>
    </row>
    <row r="611" spans="1:6" x14ac:dyDescent="0.2">
      <c r="A611" t="s">
        <v>219</v>
      </c>
      <c r="B611" t="s">
        <v>1416</v>
      </c>
      <c r="C611" t="str" s="2">
        <f>HYPERLINK("https://www.enginatics.com/reports/wsh-shipping-delivery-transactions","WSH Shipping/Delivery Transactions")</f>
        <v>WSH Shipping/Delivery Transactions</v>
      </c>
      <c r="D611" t="str" s="2">
        <f>HYPERLINK("https://www.enginatics.com/example/wsh-shipping-delivery-transactions","WSH Shipping Delivery Transactions 29-Jun-2026 214203.xlsx")</f>
        <v>WSH Shipping Delivery Transactions 29-Jun-2026 214203.xlsx</v>
      </c>
      <c r="E611" t="s">
        <v>1419</v>
      </c>
      <c r="F611" t="s">
        <v>1420</v>
      </c>
    </row>
    <row r="612" spans="1:6" x14ac:dyDescent="0.2">
      <c r="A612" t="s">
        <v>219</v>
      </c>
      <c r="B612" t="s">
        <v>1421</v>
      </c>
      <c r="C612" t="str" s="2">
        <f>HYPERLINK("https://www.enginatics.com/reports/xdo-publisher-data-definitions","XDO Publisher Data Definitions")</f>
        <v>XDO Publisher Data Definitions</v>
      </c>
      <c r="D612" t="str" s="2">
        <f>HYPERLINK("https://www.enginatics.com/example/xdo-publisher-data-definitions","XDO Publisher Data Definitions 29-Apr-2020 114115.xlsx")</f>
        <v>XDO Publisher Data Definitions 29-Apr-2020 114115.xlsx</v>
      </c>
      <c r="E612" t="s">
        <v>1422</v>
      </c>
      <c r="F612" t="s">
        <v>1423</v>
      </c>
    </row>
    <row r="613" spans="1:6" x14ac:dyDescent="0.2">
      <c r="A613" t="s">
        <v>219</v>
      </c>
      <c r="B613" t="s">
        <v>1424</v>
      </c>
      <c r="C613" t="str" s="2">
        <f>HYPERLINK("https://www.enginatics.com/reports/xla-distribution-links-summary","XLA Distribution Links Summary")</f>
        <v>XLA Distribution Links Summary</v>
      </c>
      <c r="D613" t="str" s="2">
        <f>HYPERLINK("https://www.enginatics.com/example/xla-distribution-links-summary","XLA Distribution Links Summary 02-Oct-2024 131742.xlsx")</f>
        <v>XLA Distribution Links Summary 02-Oct-2024 131742.xlsx</v>
      </c>
      <c r="E613" t="s">
        <v>1425</v>
      </c>
      <c r="F613" t="s">
        <v>1426</v>
      </c>
    </row>
    <row r="614" spans="1:6" x14ac:dyDescent="0.2">
      <c r="A614" t="s">
        <v>219</v>
      </c>
      <c r="B614" t="s">
        <v>1424</v>
      </c>
      <c r="C614" t="str" s="2">
        <f>HYPERLINK("https://www.enginatics.com/reports/xla-entity-id-mappings","XLA Entity ID Mappings")</f>
        <v>XLA Entity ID Mappings</v>
      </c>
      <c r="D614" t="str" s="2">
        <f>HYPERLINK("https://www.enginatics.com/example/xla-entity-id-mappings","XLA Entity ID Mappings 18-Feb-2026 015632.xlsx")</f>
        <v>XLA Entity ID Mappings 18-Feb-2026 015632.xlsx</v>
      </c>
      <c r="E614" t="s">
        <v>1427</v>
      </c>
      <c r="F614" t="s">
        <v>1428</v>
      </c>
    </row>
    <row r="615" spans="1:6" x14ac:dyDescent="0.2">
      <c r="A615" t="s">
        <v>219</v>
      </c>
      <c r="B615" t="s">
        <v>1424</v>
      </c>
      <c r="C615" t="str" s="2">
        <f>HYPERLINK("https://www.enginatics.com/reports/xla-entity-types-and-event-class-attributes","XLA Entity Types and Event Class Attributes")</f>
        <v>XLA Entity Types and Event Class Attributes</v>
      </c>
      <c r="D615" t="str" s="2">
        <f>HYPERLINK("https://www.enginatics.com/example/xla-entity-types-and-event-class-attributes","XLA Entity Types and Event Class Attributes 18-Feb-2026 025927.xlsx")</f>
        <v>XLA Entity Types and Event Class Attributes 18-Feb-2026 025927.xlsx</v>
      </c>
      <c r="E615" t="s">
        <v>1429</v>
      </c>
      <c r="F615" t="s">
        <v>1430</v>
      </c>
    </row>
    <row r="616" spans="1:6" x14ac:dyDescent="0.2">
      <c r="A616" t="s">
        <v>219</v>
      </c>
      <c r="B616" t="s">
        <v>1424</v>
      </c>
      <c r="C616" t="str" s="2">
        <f>HYPERLINK("https://www.enginatics.com/reports/xla-opm-event-type-summary","XLA OPM Event Type Summary")</f>
        <v>XLA OPM Event Type Summary</v>
      </c>
      <c r="D616" t="str" s="2">
        <f>HYPERLINK("https://www.enginatics.com/example/xla-opm-event-type-summary","XLA OPM Event Type Summary 04-Apr-2026 123137.xlsx")</f>
        <v>XLA OPM Event Type Summary 04-Apr-2026 123137.xlsx</v>
      </c>
      <c r="F616" t="s">
        <v>1431</v>
      </c>
    </row>
    <row r="617" spans="1:6" x14ac:dyDescent="0.2">
      <c r="A617" t="s">
        <v>219</v>
      </c>
      <c r="B617" t="s">
        <v>1424</v>
      </c>
      <c r="C617" t="str" s="2">
        <f>HYPERLINK("https://www.enginatics.com/reports/xla-subledger-period-close-exceptions","XLA Subledger Period Close Exceptions")</f>
        <v>XLA Subledger Period Close Exceptions</v>
      </c>
      <c r="D617" t="str" s="2">
        <f>HYPERLINK("https://www.enginatics.com/example/xla-subledger-period-close-exceptions","XLA Subledger Period Close Exceptions - Default 04-May-2024 063410.xlsx")</f>
        <v>XLA Subledger Period Close Exceptions - Default 04-May-2024 063410.xlsx</v>
      </c>
      <c r="E617" t="s">
        <v>1432</v>
      </c>
      <c r="F617" t="s">
        <v>1433</v>
      </c>
    </row>
    <row r="618" spans="1:6" x14ac:dyDescent="0.2">
      <c r="A618" t="s">
        <v>219</v>
      </c>
      <c r="B618" t="s">
        <v>1434</v>
      </c>
      <c r="C618" t="str" s="2">
        <f>HYPERLINK("https://www.enginatics.com/reports/xle-establishment-and-legal-entity-associations","XLE Establishment and Legal Entity Associations")</f>
        <v>XLE Establishment and Legal Entity Associations</v>
      </c>
      <c r="D618" t="str" s="2">
        <f>HYPERLINK("https://www.enginatics.com/example/xle-establishment-and-legal-entity-associations","XLE Establishment and Legal Entity Associations 24-Jul-2017 143957.xlsx")</f>
        <v>XLE Establishment and Legal Entity Associations 24-Jul-2017 143957.xlsx</v>
      </c>
      <c r="E618" t="s">
        <v>1435</v>
      </c>
      <c r="F618" t="s">
        <v>1436</v>
      </c>
    </row>
    <row r="619" spans="1:6" x14ac:dyDescent="0.2">
      <c r="A619" t="s">
        <v>219</v>
      </c>
      <c r="B619" t="s">
        <v>1434</v>
      </c>
      <c r="C619" t="str" s="2">
        <f>HYPERLINK("https://www.enginatics.com/reports/xle-legal-entities","XLE Legal Entities")</f>
        <v>XLE Legal Entities</v>
      </c>
      <c r="D619" t="str" s="2">
        <f>HYPERLINK("https://www.enginatics.com/example/xle-legal-entities","XLE Legal Entities 24-Jul-2017 145303.xlsx")</f>
        <v>XLE Legal Entities 24-Jul-2017 145303.xlsx</v>
      </c>
      <c r="E619" t="s">
        <v>1437</v>
      </c>
      <c r="F619" t="s">
        <v>1438</v>
      </c>
    </row>
    <row r="620" spans="1:6" x14ac:dyDescent="0.2">
      <c r="A620" t="s">
        <v>219</v>
      </c>
      <c r="B620" t="s">
        <v>1439</v>
      </c>
      <c r="C620" t="str" s="2">
        <f>HYPERLINK("https://www.enginatics.com/reports/zx-financial-tax-register","ZX Financial Tax Register")</f>
        <v>ZX Financial Tax Register</v>
      </c>
      <c r="D620" t="str" s="2">
        <f>HYPERLINK("https://www.enginatics.com/example/zx-financial-tax-register","ZX Financial Tax Register - Tax Register 06-Aug-2024 034931.xlsx")</f>
        <v>ZX Financial Tax Register - Tax Register 06-Aug-2024 034931.xlsx</v>
      </c>
      <c r="E620" t="s">
        <v>1440</v>
      </c>
      <c r="F620" t="s">
        <v>1441</v>
      </c>
    </row>
    <row r="621" spans="1:6" x14ac:dyDescent="0.2">
      <c r="A621" t="s">
        <v>219</v>
      </c>
      <c r="B621" t="s">
        <v>1439</v>
      </c>
      <c r="C621" t="str" s="2">
        <f>HYPERLINK("https://www.enginatics.com/reports/zx-lines-summary","ZX Lines Summary")</f>
        <v>ZX Lines Summary</v>
      </c>
      <c r="D621" t="str" s="2">
        <f>HYPERLINK("https://www.enginatics.com/example/zx-lines-summary","ZX Lines Summary 27-May-2021 165955.xlsx")</f>
        <v>ZX Lines Summary 27-May-2021 165955.xlsx</v>
      </c>
      <c r="E621" t="s">
        <v>1442</v>
      </c>
      <c r="F621" t="s">
        <v>1443</v>
      </c>
    </row>
    <row r="622" spans="1:6" x14ac:dyDescent="0.2">
      <c r="A622" t="s">
        <v>219</v>
      </c>
      <c r="B622" t="s">
        <v>1439</v>
      </c>
      <c r="C622" t="str" s="2">
        <f>HYPERLINK("https://www.enginatics.com/reports/zx-party-tax-profiles","ZX Party Tax Profiles")</f>
        <v>ZX Party Tax Profiles</v>
      </c>
      <c r="D622" t="str" s="2">
        <f>HYPERLINK("https://www.enginatics.com/example/zx-party-tax-profiles","ZX Party Tax Profiles 27-May-2021 195519.xlsx")</f>
        <v>ZX Party Tax Profiles 27-May-2021 195519.xlsx</v>
      </c>
      <c r="E622" t="s">
        <v>1444</v>
      </c>
      <c r="F622" t="s">
        <v>1445</v>
      </c>
    </row>
    <row r="623" spans="1:6" x14ac:dyDescent="0.2">
      <c r="A623" t="s">
        <v>219</v>
      </c>
      <c r="B623" t="s">
        <v>1439</v>
      </c>
      <c r="C623" t="str" s="2">
        <f>HYPERLINK("https://www.enginatics.com/reports/zx-tax-accounts","ZX Tax Accounts")</f>
        <v>ZX Tax Accounts</v>
      </c>
      <c r="D623" t="str" s="2">
        <f>HYPERLINK("https://www.enginatics.com/example/zx-tax-accounts","ZX Tax Accounts 27-May-2021 194707.xlsx")</f>
        <v>ZX Tax Accounts 27-May-2021 194707.xlsx</v>
      </c>
      <c r="E623" t="s">
        <v>1446</v>
      </c>
      <c r="F623" t="s">
        <v>1447</v>
      </c>
    </row>
    <row r="624" spans="1:6" x14ac:dyDescent="0.2">
      <c r="A624" t="s">
        <v>219</v>
      </c>
      <c r="B624" t="s">
        <v>1439</v>
      </c>
      <c r="C624" t="str" s="2">
        <f>HYPERLINK("https://www.enginatics.com/reports/zx-tax-regimes","ZX Tax Regimes")</f>
        <v>ZX Tax Regimes</v>
      </c>
      <c r="D624" t="str" s="2">
        <f>HYPERLINK("https://www.enginatics.com/example/zx-tax-regimes","ZX Tax Regimes 27-May-2021 194742.xlsx")</f>
        <v>ZX Tax Regimes 27-May-2021 194742.xlsx</v>
      </c>
      <c r="E624" t="s">
        <v>1448</v>
      </c>
      <c r="F624" t="s">
        <v>1449</v>
      </c>
    </row>
    <row r="625" spans="1:6" x14ac:dyDescent="0.2">
      <c r="A625" t="s">
        <v>219</v>
      </c>
      <c r="B625" t="s">
        <v>1439</v>
      </c>
      <c r="C625" t="str" s="2">
        <f>HYPERLINK("https://www.enginatics.com/reports/zx-us-sales-tax","ZX US Sales Tax")</f>
        <v>ZX US Sales Tax</v>
      </c>
      <c r="E625" t="s">
        <v>1450</v>
      </c>
      <c r="F625" t="s">
        <v>1451</v>
      </c>
    </row>
  </sheetData>
  <autoFilter ref="A1:F1"/>
  <pageMargins left="0.7" right="0.7" top="0.75" bottom="0.75" header="0.3" footer="0.3"/>
  <pageSetup paperSize="9" orientation="landscape" horizontalDpi="0" verticalDpi="0"/>
  <headerFooter>
    <oddHeader>&amp;CEnginatics Blitz Reports and Uploads</oddHeader>
    <oddFooter>&amp;CAndy's footer</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F2"/>
  <sheetViews>
    <sheetView workbookViewId="0">
      <pane ySplit="1" topLeftCell="A2" activePane="bottomLeft" state="frozen"/>
      <selection pane="bottomLeft"/>
    </sheetView>
  </sheetViews>
  <sheetFormatPr baseColWidth="10" defaultRowHeight="12.75" x14ac:dyDescent="0.2"/>
  <cols>
    <col min="1" max="1" width="6.838" bestFit="1" customWidth="1"/>
    <col min="2" max="2" width="29.994" bestFit="1" customWidth="1"/>
    <col min="3" max="3" width="57.973" bestFit="1" customWidth="1"/>
    <col min="4" max="5" width="60.7148438" bestFit="1" customWidth="1"/>
    <col min="6" max="6" width="57.973" bestFit="1" customWidth="1"/>
  </cols>
  <sheetData>
    <row r="1" spans="1:6" customFormat="1" x14ac:dyDescent="0.2">
      <c r="A1" s="1" t="s">
        <v>0</v>
      </c>
      <c r="B1" s="1" t="s">
        <v>1</v>
      </c>
      <c r="C1" s="1" t="s">
        <v>2</v>
      </c>
      <c r="D1" s="1" t="s">
        <v>3</v>
      </c>
      <c r="E1" s="1" t="s">
        <v>4</v>
      </c>
      <c r="F1" s="1" t="s">
        <v>5</v>
      </c>
    </row>
    <row r="2" spans="1:6" x14ac:dyDescent="0.2">
      <c r="A2" t="s">
        <v>1452</v>
      </c>
      <c r="B2" t="s">
        <v>83</v>
      </c>
      <c r="C2" t="str" s="2">
        <f>HYPERLINK("https://www.enginatics.com/reports/gl-financial-statement-and-drilldown-fsg","GL Financial Statement and Drilldown (FSG)")</f>
        <v>GL Financial Statement and Drilldown (FSG)</v>
      </c>
      <c r="D2" t="str" s="2">
        <f>HYPERLINK("https://www.enginatics.com/example/gl-financial-statement-and-drilldown-fsg","GL Financial Statement and Drilldown (FSG) - Income Summary Statement 04-Apr-2026 124502.xlsm")</f>
        <v>GL Financial Statement and Drilldown (FSG) - Income Summary Statement 04-Apr-2026 124502.xlsm</v>
      </c>
      <c r="E2" t="s">
        <v>1453</v>
      </c>
      <c r="F2" t="s">
        <v>1454</v>
      </c>
    </row>
  </sheetData>
  <autoFilter ref="A1:F1"/>
  <pageMargins left="0.7" right="0.7" top="0.75" bottom="0.75" header="0.3" footer="0.3"/>
  <pageSetup paperSize="9" orientation="landscape" horizontalDpi="0" verticalDpi="0"/>
  <headerFooter>
    <oddHeader>&amp;CEnginatics Blitz Reports and Uploads</oddHeader>
    <oddFooter>&amp;CAndy's footer</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13"/>
  <sheetViews>
    <sheetView workbookViewId="0"/>
  </sheetViews>
  <sheetFormatPr baseColWidth="10" defaultRowHeight="12.75" x14ac:dyDescent="0.2"/>
  <cols>
    <col min="1" max="1" width="17.052" bestFit="1" customWidth="1"/>
    <col min="2" max="2" width="29.63" bestFit="1" customWidth="1"/>
  </cols>
  <sheetData>
    <row r="1" spans="1:2" x14ac:dyDescent="0.2">
      <c r="A1" s="1" t="s">
        <v>1455</v>
      </c>
      <c r="B1" s="5" t="s">
        <v>872</v>
      </c>
    </row>
    <row r="2" spans="1:2" x14ac:dyDescent="0.2">
      <c r="A2" s="1" t="s">
        <v>1456</v>
      </c>
      <c r="B2" s="4">
        <v>46227.792418981481</v>
      </c>
    </row>
    <row r="3" spans="1:2" x14ac:dyDescent="0.2">
      <c r="A3" s="1" t="s">
        <v>1457</v>
      </c>
      <c r="B3" s="5" t="s">
        <v>1458</v>
      </c>
    </row>
    <row r="4" spans="1:2" x14ac:dyDescent="0.2">
      <c r="A4" s="1" t="s">
        <v>1459</v>
      </c>
      <c r="B4" s="4">
        <v>46229.433576388889</v>
      </c>
    </row>
    <row r="5" spans="1:2" x14ac:dyDescent="0.2">
      <c r="A5" s="1" t="s">
        <v>1460</v>
      </c>
      <c r="B5" s="5">
        <v>19030544</v>
      </c>
    </row>
    <row r="6" spans="1:2" x14ac:dyDescent="0.2">
      <c r="A6" s="1" t="s">
        <v>1461</v>
      </c>
      <c r="B6" s="5" t="s">
        <v>1462</v>
      </c>
    </row>
    <row r="7" spans="1:2" x14ac:dyDescent="0.2">
      <c r="A7" s="1" t="s">
        <v>1463</v>
      </c>
      <c r="B7" s="5" t="s">
        <v>1464</v>
      </c>
    </row>
    <row r="8" spans="1:2" x14ac:dyDescent="0.2">
      <c r="A8" s="1" t="s">
        <v>1465</v>
      </c>
      <c r="B8" s="5" t="s">
        <v>1466</v>
      </c>
    </row>
    <row r="9" spans="1:2" x14ac:dyDescent="0.2">
      <c r="A9" s="1" t="s">
        <v>1467</v>
      </c>
      <c r="B9" s="5" t="s">
        <v>1468</v>
      </c>
    </row>
    <row r="10" spans="1:2" x14ac:dyDescent="0.2">
      <c r="A10" s="1" t="s">
        <v>1469</v>
      </c>
      <c r="B10" s="5">
        <v>719</v>
      </c>
    </row>
    <row r="12" spans="1:2" x14ac:dyDescent="0.2">
      <c r="A12" s="1" t="s">
        <v>1470</v>
      </c>
      <c r="B12" s="5" t="s">
        <v>1471</v>
      </c>
    </row>
    <row r="13" spans="1:2" x14ac:dyDescent="0.2">
      <c r="A13" s="1" t="s">
        <v>0</v>
      </c>
      <c r="B13" s="5" t="s">
        <v>1472</v>
      </c>
    </row>
  </sheetData>
  <pageMargins left="0.7" right="0.7" top="0.75" bottom="0.75" header="0.3" footer="0.3"/>
  <pageSetup paperSize="9" orientation="landscape" horizontalDpi="0"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4</vt:i4>
      </vt:variant>
    </vt:vector>
  </HeadingPairs>
  <TitlesOfParts>
    <vt:vector size="4" baseType="lpstr">
      <vt:lpstr>Upload</vt:lpstr>
      <vt:lpstr>Report</vt:lpstr>
      <vt:lpstr>FSG</vt:lpstr>
      <vt:lpstr>Parameters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2026-07-26T08:24:24Z</dcterms:created>
  <dcterms:modified xsi:type="dcterms:W3CDTF">2026-07-26T08:24:24Z</dcterms:modified>
</cp:coreProperties>
</file>